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\Desktop\"/>
    </mc:Choice>
  </mc:AlternateContent>
  <xr:revisionPtr revIDLastSave="0" documentId="13_ncr:1_{92F260B2-5568-49A9-9B65-FDF421210D8D}" xr6:coauthVersionLast="45" xr6:coauthVersionMax="45" xr10:uidLastSave="{00000000-0000-0000-0000-000000000000}"/>
  <bookViews>
    <workbookView xWindow="28680" yWindow="-120" windowWidth="19440" windowHeight="15000" xr2:uid="{55D0F3BC-23C7-47A1-8C28-BE179DE56D3C}"/>
  </bookViews>
  <sheets>
    <sheet name="fixed percent of CapEx" sheetId="1" r:id="rId1"/>
    <sheet name="floating percent of CapEx ODM" sheetId="3" state="hidden" r:id="rId2"/>
    <sheet name="mkt adj floating w ODM DRAM AZs" sheetId="8" r:id="rId3"/>
    <sheet name="server expense in 6 yrs, #t (2)" sheetId="7" r:id="rId4"/>
    <sheet name="IDC report Overview" sheetId="5" state="hidden" r:id="rId5"/>
    <sheet name="IDC Data" sheetId="6" r:id="rId6"/>
    <sheet name="Availability Zone Growth" sheetId="9" r:id="rId7"/>
    <sheet name="Cost of Networks and Racks" sheetId="10" r:id="rId8"/>
  </sheets>
  <definedNames>
    <definedName name="_xlnm._FilterDatabase" localSheetId="6" hidden="1">'Availability Zone Growth'!$B$1:$E$23</definedName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'mkt adj floating w ODM DRAM AZs'!$F$19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7" l="1"/>
  <c r="C6" i="7"/>
  <c r="C5" i="7"/>
  <c r="C4" i="7"/>
  <c r="D4" i="7" s="1"/>
  <c r="C3" i="7"/>
  <c r="C2" i="7"/>
  <c r="B11" i="7"/>
  <c r="D2" i="7" s="1"/>
  <c r="H2" i="7" s="1"/>
  <c r="D5" i="7" l="1"/>
  <c r="D3" i="7"/>
  <c r="H2" i="9"/>
  <c r="G17" i="1" l="1"/>
  <c r="B14" i="8" l="1"/>
  <c r="J3" i="8"/>
  <c r="B15" i="8"/>
  <c r="I5" i="8"/>
  <c r="I6" i="8" s="1"/>
  <c r="J5" i="8" s="1"/>
  <c r="D6" i="7"/>
  <c r="D7" i="7"/>
  <c r="H14" i="9"/>
  <c r="H13" i="9"/>
  <c r="H12" i="9"/>
  <c r="H11" i="9"/>
  <c r="H10" i="9"/>
  <c r="H8" i="9"/>
  <c r="H7" i="9"/>
  <c r="H6" i="9"/>
  <c r="H5" i="9"/>
  <c r="H3" i="9"/>
  <c r="K2" i="9"/>
  <c r="K3" i="9" s="1"/>
  <c r="K4" i="9" s="1"/>
  <c r="K5" i="9" s="1"/>
  <c r="K6" i="9" s="1"/>
  <c r="K7" i="9" s="1"/>
  <c r="K8" i="9" s="1"/>
  <c r="K9" i="9" s="1"/>
  <c r="K10" i="9" s="1"/>
  <c r="K11" i="9" s="1"/>
  <c r="K12" i="9" s="1"/>
  <c r="K13" i="9" s="1"/>
  <c r="K14" i="9" s="1"/>
  <c r="I8" i="8" l="1"/>
  <c r="I9" i="8" s="1"/>
  <c r="J4" i="8"/>
  <c r="I7" i="8"/>
  <c r="J6" i="8" s="1"/>
  <c r="D8" i="7"/>
  <c r="L13" i="8"/>
  <c r="B13" i="8" s="1"/>
  <c r="L4" i="8"/>
  <c r="B4" i="8" s="1"/>
  <c r="L5" i="8"/>
  <c r="B5" i="8" s="1"/>
  <c r="L6" i="8"/>
  <c r="L7" i="8"/>
  <c r="L8" i="8"/>
  <c r="L9" i="8"/>
  <c r="L10" i="8"/>
  <c r="L11" i="8"/>
  <c r="L12" i="8"/>
  <c r="L3" i="8"/>
  <c r="B3" i="8" s="1"/>
  <c r="C15" i="8"/>
  <c r="E14" i="8"/>
  <c r="F14" i="8" s="1"/>
  <c r="C14" i="8"/>
  <c r="G14" i="8" s="1"/>
  <c r="E13" i="8"/>
  <c r="F13" i="8" s="1"/>
  <c r="E12" i="8"/>
  <c r="F12" i="8" s="1"/>
  <c r="C12" i="8"/>
  <c r="C13" i="8" s="1"/>
  <c r="E11" i="8"/>
  <c r="F11" i="8" s="1"/>
  <c r="E10" i="8"/>
  <c r="E9" i="8"/>
  <c r="F9" i="8" s="1"/>
  <c r="C9" i="8"/>
  <c r="E8" i="8"/>
  <c r="F8" i="8" s="1"/>
  <c r="E7" i="8"/>
  <c r="F7" i="8" s="1"/>
  <c r="E6" i="8"/>
  <c r="F6" i="8" s="1"/>
  <c r="E5" i="8"/>
  <c r="F5" i="8" s="1"/>
  <c r="C5" i="8"/>
  <c r="E4" i="8"/>
  <c r="F4" i="8" s="1"/>
  <c r="E3" i="8"/>
  <c r="F3" i="8" s="1"/>
  <c r="B6" i="8" l="1"/>
  <c r="G6" i="8" s="1"/>
  <c r="J8" i="8"/>
  <c r="B8" i="8" s="1"/>
  <c r="G8" i="8" s="1"/>
  <c r="I10" i="8"/>
  <c r="G3" i="8"/>
  <c r="J7" i="8"/>
  <c r="B7" i="8" s="1"/>
  <c r="G7" i="8" s="1"/>
  <c r="G5" i="8"/>
  <c r="G4" i="8"/>
  <c r="G13" i="8"/>
  <c r="F10" i="8"/>
  <c r="E7" i="7"/>
  <c r="H7" i="7"/>
  <c r="E6" i="7"/>
  <c r="H6" i="7"/>
  <c r="E5" i="7"/>
  <c r="H5" i="7"/>
  <c r="E4" i="7"/>
  <c r="H4" i="7"/>
  <c r="E3" i="7"/>
  <c r="H3" i="7"/>
  <c r="E2" i="7"/>
  <c r="O48" i="6"/>
  <c r="D48" i="6"/>
  <c r="O47" i="6"/>
  <c r="D47" i="6"/>
  <c r="O46" i="6"/>
  <c r="D46" i="6"/>
  <c r="O45" i="6"/>
  <c r="D45" i="6"/>
  <c r="O44" i="6"/>
  <c r="D44" i="6"/>
  <c r="O43" i="6"/>
  <c r="D43" i="6"/>
  <c r="O42" i="6"/>
  <c r="D42" i="6"/>
  <c r="O41" i="6"/>
  <c r="D41" i="6"/>
  <c r="O40" i="6"/>
  <c r="D40" i="6"/>
  <c r="O39" i="6"/>
  <c r="D39" i="6"/>
  <c r="O38" i="6"/>
  <c r="D38" i="6"/>
  <c r="O37" i="6"/>
  <c r="D37" i="6"/>
  <c r="O36" i="6"/>
  <c r="D36" i="6"/>
  <c r="O35" i="6"/>
  <c r="D35" i="6"/>
  <c r="O34" i="6"/>
  <c r="D34" i="6"/>
  <c r="O33" i="6"/>
  <c r="D33" i="6"/>
  <c r="O32" i="6"/>
  <c r="D32" i="6"/>
  <c r="O31" i="6"/>
  <c r="D31" i="6"/>
  <c r="O30" i="6"/>
  <c r="D30" i="6"/>
  <c r="O29" i="6"/>
  <c r="D29" i="6"/>
  <c r="O28" i="6"/>
  <c r="D28" i="6"/>
  <c r="O27" i="6"/>
  <c r="D27" i="6"/>
  <c r="O26" i="6"/>
  <c r="D26" i="6"/>
  <c r="O25" i="6"/>
  <c r="D25" i="6"/>
  <c r="O24" i="6"/>
  <c r="D24" i="6"/>
  <c r="O23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B3" i="3"/>
  <c r="F2" i="7" l="1"/>
  <c r="F4" i="7"/>
  <c r="I4" i="7" s="1"/>
  <c r="F6" i="7"/>
  <c r="I6" i="7" s="1"/>
  <c r="F3" i="7"/>
  <c r="I3" i="7" s="1"/>
  <c r="F5" i="7"/>
  <c r="I5" i="7" s="1"/>
  <c r="F7" i="7"/>
  <c r="I7" i="7" s="1"/>
  <c r="I11" i="8"/>
  <c r="J9" i="8"/>
  <c r="B9" i="8" s="1"/>
  <c r="G9" i="8" s="1"/>
  <c r="H8" i="7"/>
  <c r="E8" i="7"/>
  <c r="C8" i="7"/>
  <c r="B4" i="3"/>
  <c r="B5" i="3"/>
  <c r="B6" i="3"/>
  <c r="B7" i="3"/>
  <c r="B8" i="3"/>
  <c r="B9" i="3"/>
  <c r="B10" i="3"/>
  <c r="B11" i="3"/>
  <c r="B12" i="3"/>
  <c r="B13" i="3"/>
  <c r="C15" i="3"/>
  <c r="B15" i="3"/>
  <c r="E14" i="3"/>
  <c r="F14" i="3" s="1"/>
  <c r="C14" i="3"/>
  <c r="B14" i="3"/>
  <c r="G14" i="3" s="1"/>
  <c r="E13" i="3"/>
  <c r="F13" i="3" s="1"/>
  <c r="E12" i="3"/>
  <c r="F12" i="3" s="1"/>
  <c r="C12" i="3"/>
  <c r="C13" i="3" s="1"/>
  <c r="E11" i="3"/>
  <c r="F11" i="3" s="1"/>
  <c r="E10" i="3"/>
  <c r="F10" i="3" s="1"/>
  <c r="E9" i="3"/>
  <c r="F9" i="3" s="1"/>
  <c r="C9" i="3"/>
  <c r="E8" i="3"/>
  <c r="F8" i="3" s="1"/>
  <c r="E7" i="3"/>
  <c r="F7" i="3" s="1"/>
  <c r="E6" i="3"/>
  <c r="F6" i="3" s="1"/>
  <c r="G6" i="3" s="1"/>
  <c r="E5" i="3"/>
  <c r="F5" i="3" s="1"/>
  <c r="C5" i="3"/>
  <c r="E4" i="3"/>
  <c r="F4" i="3" s="1"/>
  <c r="E3" i="3"/>
  <c r="F3" i="3" s="1"/>
  <c r="G4" i="1"/>
  <c r="G5" i="1"/>
  <c r="G6" i="1"/>
  <c r="G7" i="1"/>
  <c r="G8" i="1"/>
  <c r="G9" i="1"/>
  <c r="G10" i="1"/>
  <c r="G11" i="1"/>
  <c r="G12" i="1"/>
  <c r="G13" i="1"/>
  <c r="G14" i="1"/>
  <c r="G3" i="1"/>
  <c r="B4" i="1"/>
  <c r="B5" i="1"/>
  <c r="B6" i="1"/>
  <c r="B7" i="1"/>
  <c r="B8" i="1"/>
  <c r="B9" i="1"/>
  <c r="B10" i="1"/>
  <c r="B11" i="1"/>
  <c r="B12" i="1"/>
  <c r="B13" i="1"/>
  <c r="B14" i="1"/>
  <c r="B3" i="1"/>
  <c r="F6" i="1"/>
  <c r="C14" i="1"/>
  <c r="B15" i="1"/>
  <c r="C15" i="1"/>
  <c r="C13" i="1"/>
  <c r="C12" i="1"/>
  <c r="C9" i="1"/>
  <c r="C5" i="1"/>
  <c r="F3" i="1"/>
  <c r="F14" i="1"/>
  <c r="F12" i="1"/>
  <c r="F13" i="1"/>
  <c r="E12" i="1"/>
  <c r="E13" i="1"/>
  <c r="E14" i="1"/>
  <c r="F4" i="1"/>
  <c r="F5" i="1"/>
  <c r="F7" i="1"/>
  <c r="F8" i="1"/>
  <c r="F9" i="1"/>
  <c r="F10" i="1"/>
  <c r="F11" i="1"/>
  <c r="E5" i="1"/>
  <c r="E6" i="1"/>
  <c r="E7" i="1"/>
  <c r="E8" i="1"/>
  <c r="E9" i="1"/>
  <c r="E10" i="1"/>
  <c r="E11" i="1"/>
  <c r="E4" i="1"/>
  <c r="E3" i="1"/>
  <c r="F8" i="7" l="1"/>
  <c r="I2" i="7"/>
  <c r="I8" i="7" s="1"/>
  <c r="J10" i="8"/>
  <c r="B10" i="8" s="1"/>
  <c r="G10" i="8" s="1"/>
  <c r="I12" i="8"/>
  <c r="G8" i="3"/>
  <c r="G11" i="3"/>
  <c r="G3" i="3"/>
  <c r="G13" i="3"/>
  <c r="G5" i="3"/>
  <c r="G4" i="3"/>
  <c r="G10" i="3"/>
  <c r="G9" i="3"/>
  <c r="G7" i="3"/>
  <c r="G12" i="3"/>
  <c r="G15" i="1"/>
  <c r="I13" i="8" l="1"/>
  <c r="J12" i="8" s="1"/>
  <c r="B12" i="8" s="1"/>
  <c r="G12" i="8" s="1"/>
  <c r="J11" i="8"/>
  <c r="B11" i="8" s="1"/>
  <c r="G11" i="8" s="1"/>
  <c r="G15" i="8" s="1"/>
  <c r="G17" i="8" s="1"/>
  <c r="G15" i="3"/>
</calcChain>
</file>

<file path=xl/sharedStrings.xml><?xml version="1.0" encoding="utf-8"?>
<sst xmlns="http://schemas.openxmlformats.org/spreadsheetml/2006/main" count="451" uniqueCount="162">
  <si>
    <t>Difference</t>
  </si>
  <si>
    <t>x%</t>
  </si>
  <si>
    <t>Period Left</t>
  </si>
  <si>
    <t>Server revenue increase rate</t>
  </si>
  <si>
    <t>Orginal Depreciation in Q1 2020</t>
  </si>
  <si>
    <t>New Depreciation in Q1 2020</t>
  </si>
  <si>
    <t>sum over 6 years</t>
  </si>
  <si>
    <t>Statistic as Excel data file</t>
  </si>
  <si>
    <t>Quarterly server revenue worldwide from 2009 to 2019, by vendor (in million U.S. dollars)</t>
  </si>
  <si>
    <t>Access data</t>
  </si>
  <si>
    <t>Source</t>
  </si>
  <si>
    <t>IDC</t>
  </si>
  <si>
    <t>Conducted by</t>
  </si>
  <si>
    <t>Survey period</t>
  </si>
  <si>
    <t>2009 to 2019</t>
  </si>
  <si>
    <t>Region</t>
  </si>
  <si>
    <t>Worldwide</t>
  </si>
  <si>
    <t>Type of survey</t>
  </si>
  <si>
    <t>n.a.</t>
  </si>
  <si>
    <t>Number of respondents</t>
  </si>
  <si>
    <t>Age group</t>
  </si>
  <si>
    <t>Special characteristics</t>
  </si>
  <si>
    <t>Note</t>
  </si>
  <si>
    <t>* Prior to November 1, 2015, Hewlett Packard Enterprise (HPE) was a division of Hewlett-Packard Company, which split into HP Inc., a printer and personal computer developer and manufacturer; and HPE, focused on servers, storage, networking, and business services.</t>
  </si>
  <si>
    <t>Publication</t>
  </si>
  <si>
    <t>Published by</t>
  </si>
  <si>
    <t>Publication date</t>
  </si>
  <si>
    <t>December 2019</t>
  </si>
  <si>
    <t>Original source</t>
  </si>
  <si>
    <t>idc.com</t>
  </si>
  <si>
    <t>ID</t>
  </si>
  <si>
    <t>269399</t>
  </si>
  <si>
    <t>Server vendors' revenue worldwide 2009-2019</t>
  </si>
  <si>
    <t>Dell Inc.</t>
  </si>
  <si>
    <t>HPE / New H3C Group</t>
  </si>
  <si>
    <t>Inspur/Inspur Power Systems</t>
  </si>
  <si>
    <t>Lenovo</t>
  </si>
  <si>
    <t>IBM</t>
  </si>
  <si>
    <t>Cisco</t>
  </si>
  <si>
    <t>Huawei</t>
  </si>
  <si>
    <t>HPE</t>
  </si>
  <si>
    <t>Oracle</t>
  </si>
  <si>
    <t>Fujitsu</t>
  </si>
  <si>
    <t>Original Design Manufacturers (ODM) Direct</t>
  </si>
  <si>
    <t>Other</t>
  </si>
  <si>
    <t>Q1 '09</t>
  </si>
  <si>
    <t>-</t>
  </si>
  <si>
    <t>Q2 '09</t>
  </si>
  <si>
    <t>Q3 '09</t>
  </si>
  <si>
    <t>Q4 '09</t>
  </si>
  <si>
    <t>Q1 '10</t>
  </si>
  <si>
    <t>Q2 '10</t>
  </si>
  <si>
    <t>Q3 '10</t>
  </si>
  <si>
    <t>Q4 '10</t>
  </si>
  <si>
    <t>Q1 '11</t>
  </si>
  <si>
    <t>Q2 '11</t>
  </si>
  <si>
    <t>Q3 '11</t>
  </si>
  <si>
    <t>Q4 '11</t>
  </si>
  <si>
    <t>Q1 '12</t>
  </si>
  <si>
    <t>Q2 '12</t>
  </si>
  <si>
    <t>Q3 '12</t>
  </si>
  <si>
    <t>Q4 '12</t>
  </si>
  <si>
    <t>Q1 '13</t>
  </si>
  <si>
    <t>Q2 '13</t>
  </si>
  <si>
    <t>Q3 '13</t>
  </si>
  <si>
    <t>Q4 '13</t>
  </si>
  <si>
    <t>Q1 '14</t>
  </si>
  <si>
    <t>Q2 '14</t>
  </si>
  <si>
    <t>Q3 '14</t>
  </si>
  <si>
    <t>Q4 '14</t>
  </si>
  <si>
    <t>Q1 '15</t>
  </si>
  <si>
    <t>Q2 '15</t>
  </si>
  <si>
    <t>Q3 '15</t>
  </si>
  <si>
    <t>Q4 '15</t>
  </si>
  <si>
    <t>Q1 '16</t>
  </si>
  <si>
    <t>Q2 '16</t>
  </si>
  <si>
    <t>Q3 '16</t>
  </si>
  <si>
    <t>Q4 '16</t>
  </si>
  <si>
    <t>Q1 '17</t>
  </si>
  <si>
    <t>Q2 '17</t>
  </si>
  <si>
    <t>Q3 '17</t>
  </si>
  <si>
    <t>Q4 '17</t>
  </si>
  <si>
    <t>Q1 '18</t>
  </si>
  <si>
    <t>Q2 '18</t>
  </si>
  <si>
    <t>Q3 '18</t>
  </si>
  <si>
    <t>Q4 '18</t>
  </si>
  <si>
    <t>Q1 '19</t>
  </si>
  <si>
    <t>Q2 '19</t>
  </si>
  <si>
    <t>Q3 '19</t>
  </si>
  <si>
    <t>Q1 2020</t>
  </si>
  <si>
    <t>Q4 2019</t>
  </si>
  <si>
    <t>Q3 2019</t>
  </si>
  <si>
    <t>Q2 2019</t>
  </si>
  <si>
    <t>Q1 2019</t>
  </si>
  <si>
    <t>Q4 2018</t>
  </si>
  <si>
    <t>Q3 2018</t>
  </si>
  <si>
    <t>x% is the percent of Amazon's CapEx spent on servers</t>
  </si>
  <si>
    <t>Q2 2018</t>
  </si>
  <si>
    <t>Q1 2018</t>
  </si>
  <si>
    <t>Q4 2017</t>
  </si>
  <si>
    <t>Q3 2017</t>
  </si>
  <si>
    <t>Q2 2017</t>
  </si>
  <si>
    <t>Quarter Year</t>
  </si>
  <si>
    <t>Q1 2017</t>
  </si>
  <si>
    <t>w/ fixed x%</t>
  </si>
  <si>
    <t>Year</t>
  </si>
  <si>
    <t>CapEx</t>
  </si>
  <si>
    <t>Price per server</t>
  </si>
  <si>
    <t>$ in millions</t>
  </si>
  <si>
    <t># of servers w/ float</t>
  </si>
  <si>
    <t># of servers w/ fixed</t>
  </si>
  <si>
    <t>reference to ODM from IDC report</t>
  </si>
  <si>
    <t>reference to Dell due to changes in evaluations of ODM in Q2 2017</t>
  </si>
  <si>
    <t>When microsoft started using ODM</t>
  </si>
  <si>
    <t>look at how much % amazon make of ODM total revenue, sanity check</t>
  </si>
  <si>
    <t>Reference to ODM from IDC report</t>
  </si>
  <si>
    <t>w/ floating x% after reduction of cost in Rack &amp; Network</t>
  </si>
  <si>
    <t xml:space="preserve">w/ floating x% </t>
  </si>
  <si>
    <t>w/ fixed x% after reduction of cost in Rack &amp; Network</t>
  </si>
  <si>
    <t>Percentile for Network and Rack cost</t>
  </si>
  <si>
    <t xml:space="preserve">AZ Number </t>
  </si>
  <si>
    <t>Launch year</t>
  </si>
  <si>
    <t>Num of Azs</t>
  </si>
  <si>
    <t>Location</t>
  </si>
  <si>
    <t>New AZ</t>
  </si>
  <si>
    <t>Cumulative AZ count</t>
  </si>
  <si>
    <t>North Virginia</t>
  </si>
  <si>
    <t>Ireland</t>
  </si>
  <si>
    <t>North California</t>
  </si>
  <si>
    <t>Singapore</t>
  </si>
  <si>
    <t>Oregon</t>
  </si>
  <si>
    <t>US-West</t>
  </si>
  <si>
    <t>São Paulo</t>
  </si>
  <si>
    <t>Tokyo</t>
  </si>
  <si>
    <t>Sydney</t>
  </si>
  <si>
    <t>Frankfurt</t>
  </si>
  <si>
    <t>Canada Central</t>
  </si>
  <si>
    <t>Ohio</t>
  </si>
  <si>
    <t>London</t>
  </si>
  <si>
    <t>Mumbai</t>
  </si>
  <si>
    <t>Beijing</t>
  </si>
  <si>
    <t>Seoul</t>
  </si>
  <si>
    <t>December</t>
  </si>
  <si>
    <t>Paris</t>
  </si>
  <si>
    <t>Ningxia</t>
  </si>
  <si>
    <t>November</t>
  </si>
  <si>
    <t>US- East</t>
  </si>
  <si>
    <t>Stockholm</t>
  </si>
  <si>
    <t>July</t>
  </si>
  <si>
    <t>Bahrain</t>
  </si>
  <si>
    <t>April</t>
  </si>
  <si>
    <t>Hong Kong SAR</t>
  </si>
  <si>
    <t>https://cloudacademy.com/blog/aws-regions-and-availability-zones-the-simplest-explanation-you-will-ever-find-around/</t>
  </si>
  <si>
    <t>https://aws.amazon.com/about-aws/whats-new/2018/11/announcing-the-new-aws-govcloud-us-east-region/</t>
  </si>
  <si>
    <t>Month</t>
  </si>
  <si>
    <t>AZ Count Increase Rate</t>
  </si>
  <si>
    <t>Reference to DRAM Price</t>
  </si>
  <si>
    <t>DRAM Price Percentage Change</t>
  </si>
  <si>
    <t>Availablity Zones</t>
  </si>
  <si>
    <t xml:space="preserve">Total Depreciation </t>
  </si>
  <si>
    <t xml:space="preserve">Goal Seek </t>
  </si>
  <si>
    <t xml:space="preserve">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</si>
</sst>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#,##0.000"/>
    <numFmt numFmtId="166" formatCode="#,##0.##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1" fontId="0" fillId="0" borderId="0" xfId="0" applyNumberFormat="1"/>
    <xf numFmtId="10" fontId="0" fillId="0" borderId="0" xfId="0" applyNumberFormat="1"/>
    <xf numFmtId="44" fontId="0" fillId="0" borderId="0" xfId="2" applyFont="1"/>
    <xf numFmtId="39" fontId="0" fillId="0" borderId="0" xfId="2" applyNumberFormat="1" applyFont="1"/>
    <xf numFmtId="0" fontId="0" fillId="0" borderId="0" xfId="0" applyAlignment="1">
      <alignment wrapText="1"/>
    </xf>
    <xf numFmtId="44" fontId="0" fillId="0" borderId="0" xfId="2" applyFont="1" applyAlignment="1"/>
    <xf numFmtId="0" fontId="3" fillId="0" borderId="0" xfId="3" applyFont="1" applyAlignment="1">
      <alignment horizontal="left" vertical="center"/>
    </xf>
    <xf numFmtId="0" fontId="2" fillId="0" borderId="0" xfId="3"/>
    <xf numFmtId="0" fontId="2" fillId="0" borderId="0" xfId="3" applyAlignment="1">
      <alignment horizontal="left" vertical="center"/>
    </xf>
    <xf numFmtId="0" fontId="4" fillId="0" borderId="0" xfId="3" applyFont="1"/>
    <xf numFmtId="0" fontId="5" fillId="0" borderId="0" xfId="3" applyFont="1" applyAlignment="1">
      <alignment horizontal="left" vertical="center"/>
    </xf>
    <xf numFmtId="0" fontId="2" fillId="0" borderId="0" xfId="3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2" fillId="0" borderId="0" xfId="3" applyAlignment="1">
      <alignment horizontal="right" vertical="center"/>
    </xf>
    <xf numFmtId="3" fontId="2" fillId="0" borderId="0" xfId="3" applyNumberFormat="1" applyAlignment="1">
      <alignment horizontal="right" vertical="center"/>
    </xf>
    <xf numFmtId="4" fontId="2" fillId="0" borderId="0" xfId="3" applyNumberFormat="1" applyAlignment="1">
      <alignment horizontal="right" vertical="center"/>
    </xf>
    <xf numFmtId="165" fontId="2" fillId="0" borderId="0" xfId="3" applyNumberFormat="1" applyAlignment="1">
      <alignment horizontal="right" vertical="center"/>
    </xf>
    <xf numFmtId="166" fontId="2" fillId="0" borderId="0" xfId="3" applyNumberFormat="1" applyAlignment="1">
      <alignment horizontal="right" vertical="center"/>
    </xf>
    <xf numFmtId="165" fontId="2" fillId="4" borderId="0" xfId="3" applyNumberForma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10" fontId="0" fillId="0" borderId="0" xfId="0" applyNumberFormat="1" applyAlignment="1"/>
    <xf numFmtId="1" fontId="0" fillId="0" borderId="0" xfId="0" applyNumberFormat="1" applyAlignment="1"/>
    <xf numFmtId="10" fontId="0" fillId="3" borderId="0" xfId="1" applyNumberFormat="1" applyFont="1" applyFill="1" applyAlignment="1"/>
    <xf numFmtId="164" fontId="0" fillId="0" borderId="0" xfId="0" applyNumberFormat="1" applyAlignment="1">
      <alignment horizontal="right"/>
    </xf>
    <xf numFmtId="167" fontId="0" fillId="0" borderId="0" xfId="0" applyNumberFormat="1"/>
    <xf numFmtId="167" fontId="0" fillId="0" borderId="0" xfId="0" applyNumberFormat="1" applyAlignment="1"/>
    <xf numFmtId="37" fontId="0" fillId="0" borderId="0" xfId="0" applyNumberFormat="1"/>
    <xf numFmtId="37" fontId="0" fillId="4" borderId="0" xfId="0" applyNumberFormat="1" applyFill="1"/>
    <xf numFmtId="44" fontId="0" fillId="4" borderId="0" xfId="2" applyFont="1" applyFill="1"/>
    <xf numFmtId="44" fontId="0" fillId="5" borderId="0" xfId="2" applyFont="1" applyFill="1"/>
    <xf numFmtId="37" fontId="0" fillId="5" borderId="0" xfId="0" applyNumberFormat="1" applyFill="1"/>
    <xf numFmtId="165" fontId="2" fillId="2" borderId="0" xfId="3" applyNumberFormat="1" applyFill="1" applyAlignment="1">
      <alignment horizontal="right" vertical="center"/>
    </xf>
    <xf numFmtId="0" fontId="0" fillId="0" borderId="0" xfId="0" applyAlignment="1">
      <alignment horizontal="left"/>
    </xf>
    <xf numFmtId="10" fontId="0" fillId="5" borderId="0" xfId="1" applyNumberFormat="1" applyFont="1" applyFill="1"/>
    <xf numFmtId="0" fontId="0" fillId="6" borderId="0" xfId="0" applyFill="1"/>
    <xf numFmtId="44" fontId="0" fillId="0" borderId="0" xfId="2" applyFont="1" applyFill="1"/>
    <xf numFmtId="2" fontId="0" fillId="0" borderId="0" xfId="2" applyNumberFormat="1" applyFont="1" applyAlignment="1">
      <alignment horizontal="right"/>
    </xf>
    <xf numFmtId="44" fontId="0" fillId="0" borderId="0" xfId="0" applyNumberFormat="1"/>
    <xf numFmtId="2" fontId="0" fillId="0" borderId="0" xfId="0" applyNumberFormat="1"/>
    <xf numFmtId="0" fontId="6" fillId="0" borderId="0" xfId="4"/>
    <xf numFmtId="0" fontId="0" fillId="0" borderId="1" xfId="0" applyBorder="1"/>
    <xf numFmtId="167" fontId="0" fillId="0" borderId="1" xfId="0" applyNumberFormat="1" applyBorder="1"/>
    <xf numFmtId="0" fontId="0" fillId="2" borderId="0" xfId="0" applyFill="1"/>
    <xf numFmtId="0" fontId="0" fillId="0" borderId="0" xfId="0" applyFill="1"/>
    <xf numFmtId="10" fontId="0" fillId="0" borderId="0" xfId="0" applyNumberFormat="1" applyFill="1" applyAlignment="1"/>
    <xf numFmtId="0" fontId="0" fillId="2" borderId="0" xfId="0" applyFill="1" applyAlignment="1">
      <alignment wrapText="1"/>
    </xf>
  </cellXfs>
  <cellStyles count="5">
    <cellStyle name="Currency" xfId="2" builtinId="4"/>
    <cellStyle name="Hyperlink" xfId="4" builtinId="8"/>
    <cellStyle name="Normal" xfId="0" builtinId="0"/>
    <cellStyle name="Normal 2" xfId="3" xr:uid="{09085514-523C-420E-99F4-520797A720D3}"/>
    <cellStyle name="Percent" xfId="1" builtinId="5"/>
  </cellStyles>
  <dxfs count="0"/>
  <tableStyles count="0" defaultTableStyle="TableStyleMedium2" defaultPivotStyle="PivotStyleLight16"/>
  <colors>
    <mruColors>
      <color rgb="FFCC3399"/>
      <color rgb="FF9F5FCF"/>
      <color rgb="FF66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DRAM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C3399"/>
              </a:solidFill>
              <a:round/>
            </a:ln>
            <a:effectLst/>
          </c:spPr>
          <c:marker>
            <c:symbol val="none"/>
          </c:marker>
          <c:cat>
            <c:strRef>
              <c:f>'mkt adj floating w ODM DRAM AZs'!$A$3:$A$13</c:f>
              <c:strCache>
                <c:ptCount val="11"/>
                <c:pt idx="0">
                  <c:v>Q2 2017</c:v>
                </c:pt>
                <c:pt idx="1">
                  <c:v>Q3 2017</c:v>
                </c:pt>
                <c:pt idx="2">
                  <c:v>Q4 2017</c:v>
                </c:pt>
                <c:pt idx="3">
                  <c:v>Q1 2018</c:v>
                </c:pt>
                <c:pt idx="4">
                  <c:v>Q2 2018</c:v>
                </c:pt>
                <c:pt idx="5">
                  <c:v>Q3 2018</c:v>
                </c:pt>
                <c:pt idx="6">
                  <c:v>Q4 2018</c:v>
                </c:pt>
                <c:pt idx="7">
                  <c:v>Q1 2019</c:v>
                </c:pt>
                <c:pt idx="8">
                  <c:v>Q2 2019</c:v>
                </c:pt>
                <c:pt idx="9">
                  <c:v>Q3 2019</c:v>
                </c:pt>
                <c:pt idx="10">
                  <c:v>Q4 2019</c:v>
                </c:pt>
              </c:strCache>
            </c:strRef>
          </c:cat>
          <c:val>
            <c:numRef>
              <c:f>'mkt adj floating w ODM DRAM AZs'!$K$3:$K$13</c:f>
              <c:numCache>
                <c:formatCode>0.00</c:formatCode>
                <c:ptCount val="11"/>
                <c:pt idx="0">
                  <c:v>5.8000000000000007</c:v>
                </c:pt>
                <c:pt idx="1">
                  <c:v>5.8999999999999995</c:v>
                </c:pt>
                <c:pt idx="2">
                  <c:v>6.1</c:v>
                </c:pt>
                <c:pt idx="3">
                  <c:v>6.2</c:v>
                </c:pt>
                <c:pt idx="4">
                  <c:v>6.2</c:v>
                </c:pt>
                <c:pt idx="5">
                  <c:v>5.8000000000000007</c:v>
                </c:pt>
                <c:pt idx="6">
                  <c:v>5.0999999999999996</c:v>
                </c:pt>
                <c:pt idx="7">
                  <c:v>3.5000000000000004</c:v>
                </c:pt>
                <c:pt idx="8">
                  <c:v>2.8000000000000003</c:v>
                </c:pt>
                <c:pt idx="9">
                  <c:v>2.9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CDF-BBA9-F181B9B71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651040"/>
        <c:axId val="69207008"/>
      </c:lineChart>
      <c:catAx>
        <c:axId val="1986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07008"/>
        <c:crosses val="autoZero"/>
        <c:auto val="1"/>
        <c:lblAlgn val="ctr"/>
        <c:lblOffset val="100"/>
        <c:noMultiLvlLbl val="0"/>
      </c:catAx>
      <c:valAx>
        <c:axId val="692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Availability</a:t>
            </a:r>
            <a:r>
              <a:rPr lang="en-US" altLang="zh-CN" baseline="0"/>
              <a:t> Zones (Cumulative)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'mkt adj floating w ODM DRAM AZs'!$A$3:$A$13</c:f>
              <c:strCache>
                <c:ptCount val="11"/>
                <c:pt idx="0">
                  <c:v>Q2 2017</c:v>
                </c:pt>
                <c:pt idx="1">
                  <c:v>Q3 2017</c:v>
                </c:pt>
                <c:pt idx="2">
                  <c:v>Q4 2017</c:v>
                </c:pt>
                <c:pt idx="3">
                  <c:v>Q1 2018</c:v>
                </c:pt>
                <c:pt idx="4">
                  <c:v>Q2 2018</c:v>
                </c:pt>
                <c:pt idx="5">
                  <c:v>Q3 2018</c:v>
                </c:pt>
                <c:pt idx="6">
                  <c:v>Q4 2018</c:v>
                </c:pt>
                <c:pt idx="7">
                  <c:v>Q1 2019</c:v>
                </c:pt>
                <c:pt idx="8">
                  <c:v>Q2 2019</c:v>
                </c:pt>
                <c:pt idx="9">
                  <c:v>Q3 2019</c:v>
                </c:pt>
                <c:pt idx="10">
                  <c:v>Q4 2019</c:v>
                </c:pt>
              </c:strCache>
            </c:strRef>
          </c:cat>
          <c:val>
            <c:numRef>
              <c:f>'mkt adj floating w ODM DRAM AZs'!$I$3:$I$13</c:f>
              <c:numCache>
                <c:formatCode>General</c:formatCode>
                <c:ptCount val="11"/>
                <c:pt idx="0">
                  <c:v>51</c:v>
                </c:pt>
                <c:pt idx="1">
                  <c:v>51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63</c:v>
                </c:pt>
                <c:pt idx="7">
                  <c:v>63</c:v>
                </c:pt>
                <c:pt idx="8">
                  <c:v>66</c:v>
                </c:pt>
                <c:pt idx="9">
                  <c:v>69</c:v>
                </c:pt>
                <c:pt idx="1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DE2-8FC7-DD75134F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85728"/>
        <c:axId val="69207840"/>
      </c:lineChart>
      <c:catAx>
        <c:axId val="1997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07840"/>
        <c:crosses val="autoZero"/>
        <c:auto val="1"/>
        <c:lblAlgn val="ctr"/>
        <c:lblOffset val="100"/>
        <c:noMultiLvlLbl val="0"/>
      </c:catAx>
      <c:valAx>
        <c:axId val="692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8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CapEx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F5FCF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'mkt adj floating w ODM DRAM AZs'!$A$3:$A$14</c15:sqref>
                  </c15:fullRef>
                </c:ext>
              </c:extLst>
              <c:f>'mkt adj floating w ODM DRAM AZs'!$A$3:$A$13</c:f>
              <c:strCache>
                <c:ptCount val="11"/>
                <c:pt idx="0">
                  <c:v>Q2 2017</c:v>
                </c:pt>
                <c:pt idx="1">
                  <c:v>Q3 2017</c:v>
                </c:pt>
                <c:pt idx="2">
                  <c:v>Q4 2017</c:v>
                </c:pt>
                <c:pt idx="3">
                  <c:v>Q1 2018</c:v>
                </c:pt>
                <c:pt idx="4">
                  <c:v>Q2 2018</c:v>
                </c:pt>
                <c:pt idx="5">
                  <c:v>Q3 2018</c:v>
                </c:pt>
                <c:pt idx="6">
                  <c:v>Q4 2018</c:v>
                </c:pt>
                <c:pt idx="7">
                  <c:v>Q1 2019</c:v>
                </c:pt>
                <c:pt idx="8">
                  <c:v>Q2 2019</c:v>
                </c:pt>
                <c:pt idx="9">
                  <c:v>Q3 2019</c:v>
                </c:pt>
                <c:pt idx="10">
                  <c:v>Q4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'mkt adj floating w ODM DRAM AZs'!$C$3:$C$14</c15:sqref>
                  </c15:fullRef>
                </c:ext>
              </c:extLst>
              <c:f>'mkt adj floating w ODM DRAM AZs'!$C$3:$C$13</c:f>
              <c:numCache>
                <c:formatCode>General</c:formatCode>
                <c:ptCount val="11"/>
                <c:pt idx="0">
                  <c:v>2501</c:v>
                </c:pt>
                <c:pt idx="1">
                  <c:v>2659</c:v>
                </c:pt>
                <c:pt idx="2">
                  <c:v>4934</c:v>
                </c:pt>
                <c:pt idx="3">
                  <c:v>3098</c:v>
                </c:pt>
                <c:pt idx="4">
                  <c:v>3243</c:v>
                </c:pt>
                <c:pt idx="5">
                  <c:v>3352</c:v>
                </c:pt>
                <c:pt idx="6">
                  <c:v>3734</c:v>
                </c:pt>
                <c:pt idx="7">
                  <c:v>3290</c:v>
                </c:pt>
                <c:pt idx="8">
                  <c:v>3562</c:v>
                </c:pt>
                <c:pt idx="9">
                  <c:v>4697</c:v>
                </c:pt>
                <c:pt idx="10">
                  <c:v>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1-47A5-8273-E432BBB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332480"/>
        <c:axId val="69192448"/>
      </c:lineChart>
      <c:catAx>
        <c:axId val="1983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92448"/>
        <c:crosses val="autoZero"/>
        <c:auto val="1"/>
        <c:lblAlgn val="ctr"/>
        <c:lblOffset val="100"/>
        <c:noMultiLvlLbl val="0"/>
      </c:catAx>
      <c:valAx>
        <c:axId val="691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3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ODM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'mkt adj floating w ODM DRAM AZs'!$A$3:$A$13</c:f>
              <c:strCache>
                <c:ptCount val="11"/>
                <c:pt idx="0">
                  <c:v>Q2 2017</c:v>
                </c:pt>
                <c:pt idx="1">
                  <c:v>Q3 2017</c:v>
                </c:pt>
                <c:pt idx="2">
                  <c:v>Q4 2017</c:v>
                </c:pt>
                <c:pt idx="3">
                  <c:v>Q1 2018</c:v>
                </c:pt>
                <c:pt idx="4">
                  <c:v>Q2 2018</c:v>
                </c:pt>
                <c:pt idx="5">
                  <c:v>Q3 2018</c:v>
                </c:pt>
                <c:pt idx="6">
                  <c:v>Q4 2018</c:v>
                </c:pt>
                <c:pt idx="7">
                  <c:v>Q1 2019</c:v>
                </c:pt>
                <c:pt idx="8">
                  <c:v>Q2 2019</c:v>
                </c:pt>
                <c:pt idx="9">
                  <c:v>Q3 2019</c:v>
                </c:pt>
                <c:pt idx="10">
                  <c:v>Q4 2019</c:v>
                </c:pt>
              </c:strCache>
            </c:strRef>
          </c:cat>
          <c:val>
            <c:numRef>
              <c:f>'IDC Data'!$N$51:$N$61</c:f>
              <c:numCache>
                <c:formatCode>#,##0.##</c:formatCode>
                <c:ptCount val="11"/>
                <c:pt idx="0">
                  <c:v>1224.5</c:v>
                </c:pt>
                <c:pt idx="1">
                  <c:v>2776.2</c:v>
                </c:pt>
                <c:pt idx="2">
                  <c:v>4118.7</c:v>
                </c:pt>
                <c:pt idx="3">
                  <c:v>4245.3999999999996</c:v>
                </c:pt>
                <c:pt idx="4">
                  <c:v>4594.5</c:v>
                </c:pt>
                <c:pt idx="5">
                  <c:v>5488.2</c:v>
                </c:pt>
                <c:pt idx="6">
                  <c:v>6257.2</c:v>
                </c:pt>
                <c:pt idx="7">
                  <c:v>4736.2</c:v>
                </c:pt>
                <c:pt idx="8">
                  <c:v>4549.3</c:v>
                </c:pt>
                <c:pt idx="9">
                  <c:v>4232.7</c:v>
                </c:pt>
                <c:pt idx="10" formatCode="#,##0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F-47ED-98B9-79B1FE81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11504"/>
        <c:axId val="206649648"/>
      </c:lineChart>
      <c:catAx>
        <c:axId val="2076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49648"/>
        <c:crosses val="autoZero"/>
        <c:auto val="1"/>
        <c:lblAlgn val="ctr"/>
        <c:lblOffset val="100"/>
        <c:noMultiLvlLbl val="0"/>
      </c:catAx>
      <c:valAx>
        <c:axId val="2066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1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servers:</a:t>
            </a:r>
            <a:r>
              <a:rPr lang="en-US"/>
              <a:t> fixed</a:t>
            </a:r>
            <a:r>
              <a:rPr lang="en-US" baseline="0"/>
              <a:t> rate vs floating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'server expense in 6 yrs, #t (2)'!$H$1</c:f>
              <c:strCache>
                <c:ptCount val="1"/>
                <c:pt idx="0">
                  <c:v># of servers w/ float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'server expense in 6 yrs, #t (2)'!$A$2:$A$7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'server expense in 6 yrs, #t (2)'!$H$2:$H$7</c:f>
              <c:numCache>
                <c:formatCode>#,##0_);\(#,##0\)</c:formatCode>
                <c:ptCount val="6"/>
                <c:pt idx="0">
                  <c:v>751979.45397258387</c:v>
                </c:pt>
                <c:pt idx="1">
                  <c:v>705259.29169838293</c:v>
                </c:pt>
                <c:pt idx="2">
                  <c:v>645383.20302764943</c:v>
                </c:pt>
                <c:pt idx="3">
                  <c:v>792866.09800938494</c:v>
                </c:pt>
                <c:pt idx="4">
                  <c:v>850578.66259823926</c:v>
                </c:pt>
                <c:pt idx="5">
                  <c:v>1120555.0130124395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4-4E15-A28B-F06FCCD6C2E9}"/>
            </c:ext>
          </c:extLst>
        </c:ser>
        <c:ser>
          <c:idx val="1"/>
          <c:order val="1"/>
          <c:tx>
            <c:strRef>
              <c:f>'server expense in 6 yrs, #t (2)'!$I$1</c:f>
              <c:strCache>
                <c:ptCount val="1"/>
                <c:pt idx="0">
                  <c:v># of servers w/ fixed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'server expense in 6 yrs, #t (2)'!$A$2:$A$7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'server expense in 6 yrs, #t (2)'!$I$2:$I$7</c:f>
              <c:numCache>
                <c:formatCode>#,##0_);\(#,##0\)</c:formatCode>
                <c:ptCount val="6"/>
                <c:pt idx="0">
                  <c:v>842363.12725319224</c:v>
                </c:pt>
                <c:pt idx="1">
                  <c:v>790027.4659646228</c:v>
                </c:pt>
                <c:pt idx="2">
                  <c:v>722954.61040465254</c:v>
                </c:pt>
                <c:pt idx="3">
                  <c:v>888164.11443679093</c:v>
                </c:pt>
                <c:pt idx="4">
                  <c:v>952813.40256832761</c:v>
                </c:pt>
                <c:pt idx="5">
                  <c:v>1255239.3819190888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4-4E15-A28B-F06FCCD6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708720"/>
        <c:axId val="206650896"/>
      </c:lineChart>
      <c:catAx>
        <c:axId val="3287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0896"/>
        <c:crosses val="autoZero"/>
        <c:auto val="1"/>
        <c:lblAlgn val="ctr"/>
        <c:lblOffset val="100"/>
        <c:noMultiLvlLbl val="0"/>
      </c:catAx>
      <c:valAx>
        <c:axId val="20665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70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CapEx</a:t>
            </a:r>
            <a:r>
              <a:rPr lang="en-US" baseline="0"/>
              <a:t> $ amt spent on servers:</a:t>
            </a:r>
            <a:r>
              <a:rPr lang="en-US"/>
              <a:t> fixed rate vs floating</a:t>
            </a:r>
            <a:r>
              <a:rPr lang="en-US" baseline="0"/>
              <a:t>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'server expense in 6 yrs, #t (2)'!$D$1</c:f>
              <c:strCache>
                <c:ptCount val="1"/>
                <c:pt idx="0">
                  <c:v>w/ floating x% after reduction of cost in Rack &amp; Network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'server expense in 6 yrs, #t (2)'!$A$2:$A$7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'server expense in 6 yrs, #t (2)'!$D$2:$D$7</c:f>
              <c:numCache>
                <c:formatCode>_("$"* #,##0.00_);_("$"* \(#,##0.00\);_("$"* "-"??_);_(@_)</c:formatCode>
                <c:ptCount val="6"/>
                <c:pt idx="0">
                  <c:v>2109302368.3930976</c:v>
                </c:pt>
                <c:pt idx="1">
                  <c:v>1978252313.213964</c:v>
                </c:pt>
                <c:pt idx="2">
                  <c:v>2904224413.6244226</c:v>
                </c:pt>
                <c:pt idx="3">
                  <c:v>5153629637.0610018</c:v>
                </c:pt>
                <c:pt idx="4">
                  <c:v>5788187798.9810181</c:v>
                </c:pt>
                <c:pt idx="5">
                  <c:v>7268536119.655839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E-47F0-BBE7-E044C89782CD}"/>
            </c:ext>
          </c:extLst>
        </c:ser>
        <c:ser>
          <c:idx val="1"/>
          <c:order val="1"/>
          <c:tx>
            <c:strRef>
              <c:f>'server expense in 6 yrs, #t (2)'!$F$1</c:f>
              <c:strCache>
                <c:ptCount val="1"/>
                <c:pt idx="0">
                  <c:v>w/ fixed x% after reduction of cost in Rack &amp; Network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'server expense in 6 yrs, #t (2)'!$A$2:$A$7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'server expense in 6 yrs, #t (2)'!$F$2:$F$7</c:f>
              <c:numCache>
                <c:formatCode>_("$"* #,##0.00_);_("$"* \(#,##0.00\);_("$"* "-"??_);_(@_)</c:formatCode>
                <c:ptCount val="6"/>
                <c:pt idx="0">
                  <c:v>2362828571.9452043</c:v>
                </c:pt>
                <c:pt idx="1">
                  <c:v>2216027042.030767</c:v>
                </c:pt>
                <c:pt idx="2">
                  <c:v>3253295746.8209362</c:v>
                </c:pt>
                <c:pt idx="3">
                  <c:v>5773066743.8391409</c:v>
                </c:pt>
                <c:pt idx="4">
                  <c:v>6483895204.4774694</c:v>
                </c:pt>
                <c:pt idx="5">
                  <c:v>8142173012.7872658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E-47F0-BBE7-E044C897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0582624"/>
        <c:axId val="206637584"/>
      </c:lineChart>
      <c:catAx>
        <c:axId val="17905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37584"/>
        <c:crosses val="autoZero"/>
        <c:auto val="1"/>
        <c:lblAlgn val="ctr"/>
        <c:lblOffset val="100"/>
        <c:noMultiLvlLbl val="0"/>
      </c:catAx>
      <c:valAx>
        <c:axId val="2066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58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ODM Adjusted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'IDC Data'!$N$51:$N$61</c:f>
              <c:numCache>
                <c:formatCode>#,##0.##</c:formatCode>
                <c:ptCount val="11"/>
                <c:pt idx="0">
                  <c:v>1224.5</c:v>
                </c:pt>
                <c:pt idx="1">
                  <c:v>2776.2</c:v>
                </c:pt>
                <c:pt idx="2">
                  <c:v>4118.7</c:v>
                </c:pt>
                <c:pt idx="3">
                  <c:v>4245.3999999999996</c:v>
                </c:pt>
                <c:pt idx="4">
                  <c:v>4594.5</c:v>
                </c:pt>
                <c:pt idx="5">
                  <c:v>5488.2</c:v>
                </c:pt>
                <c:pt idx="6">
                  <c:v>6257.2</c:v>
                </c:pt>
                <c:pt idx="7">
                  <c:v>4736.2</c:v>
                </c:pt>
                <c:pt idx="8">
                  <c:v>4549.3</c:v>
                </c:pt>
                <c:pt idx="9">
                  <c:v>4232.7</c:v>
                </c:pt>
                <c:pt idx="10" formatCode="#,##0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C-485B-87FC-87F5B717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11504"/>
        <c:axId val="206649648"/>
      </c:lineChart>
      <c:catAx>
        <c:axId val="20761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49648"/>
        <c:crosses val="autoZero"/>
        <c:auto val="1"/>
        <c:lblAlgn val="ctr"/>
        <c:lblOffset val="100"/>
        <c:noMultiLvlLbl val="0"/>
      </c:catAx>
      <c:valAx>
        <c:axId val="2066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1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ODM Original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'IDC Data'!$N$38:$N$48</c:f>
              <c:numCache>
                <c:formatCode>#,##0.##</c:formatCode>
                <c:ptCount val="11"/>
                <c:pt idx="0">
                  <c:v>1224.5</c:v>
                </c:pt>
                <c:pt idx="1">
                  <c:v>3520.9</c:v>
                </c:pt>
                <c:pt idx="2">
                  <c:v>4118.7</c:v>
                </c:pt>
                <c:pt idx="3">
                  <c:v>4245.3999999999996</c:v>
                </c:pt>
                <c:pt idx="4">
                  <c:v>4594.5</c:v>
                </c:pt>
                <c:pt idx="5">
                  <c:v>5488.2</c:v>
                </c:pt>
                <c:pt idx="6">
                  <c:v>6257.2</c:v>
                </c:pt>
                <c:pt idx="7">
                  <c:v>4736.2</c:v>
                </c:pt>
                <c:pt idx="8">
                  <c:v>4549.3</c:v>
                </c:pt>
                <c:pt idx="9">
                  <c:v>4232.7</c:v>
                </c:pt>
                <c:pt idx="10" formatCode="#,##0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6-4934-BA44-F831F4E0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68336"/>
        <c:axId val="206637168"/>
      </c:lineChart>
      <c:catAx>
        <c:axId val="329868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37168"/>
        <c:crosses val="autoZero"/>
        <c:auto val="1"/>
        <c:lblAlgn val="ctr"/>
        <c:lblOffset val="100"/>
        <c:noMultiLvlLbl val="0"/>
      </c:catAx>
      <c:valAx>
        <c:axId val="20663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6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522750</xdr:colOff>
      <xdr:row>44</xdr:row>
      <xdr:rowOff>28354</xdr:rowOff>
    </xdr:from>
    <xdr:to>
      <xdr:col>24</xdr:col>
      <xdr:colOff>145358</xdr:colOff>
      <xdr:row>63</xdr:row>
      <xdr:rowOff>122172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680504-0530-4F8A-B09D-22DA83E1C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90947</xdr:colOff>
      <xdr:row>44</xdr:row>
      <xdr:rowOff>107106</xdr:rowOff>
    </xdr:from>
    <xdr:to>
      <xdr:col>14</xdr:col>
      <xdr:colOff>319215</xdr:colOff>
      <xdr:row>62</xdr:row>
      <xdr:rowOff>107068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772D90-1CE9-464C-91AA-C49843AAB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163287</xdr:rowOff>
    </xdr:from>
    <xdr:to>
      <xdr:col>5</xdr:col>
      <xdr:colOff>1179534</xdr:colOff>
      <xdr:row>62</xdr:row>
      <xdr:rowOff>58064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E1E8A6-48AE-46B8-8529-5169BBA53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1385060</xdr:colOff>
      <xdr:row>44</xdr:row>
      <xdr:rowOff>43820</xdr:rowOff>
    </xdr:from>
    <xdr:to>
      <xdr:col>10</xdr:col>
      <xdr:colOff>1915728</xdr:colOff>
      <xdr:row>63</xdr:row>
      <xdr:rowOff>28588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EB8D2F5-F037-42FC-BCA8-71CA6A190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297363</xdr:colOff>
      <xdr:row>18</xdr:row>
      <xdr:rowOff>106863</xdr:rowOff>
    </xdr:from>
    <xdr:to>
      <xdr:col>8</xdr:col>
      <xdr:colOff>1175780</xdr:colOff>
      <xdr:row>42</xdr:row>
      <xdr:rowOff>12033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C0328F-D4D4-48B5-973F-13E7067F1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913</xdr:colOff>
      <xdr:row>18</xdr:row>
      <xdr:rowOff>75822</xdr:rowOff>
    </xdr:from>
    <xdr:to>
      <xdr:col>5</xdr:col>
      <xdr:colOff>111126</xdr:colOff>
      <xdr:row>42</xdr:row>
      <xdr:rowOff>47667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5E102D-2D68-4589-B5D0-8E90DABA5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53</xdr:row>
      <xdr:rowOff>87312</xdr:rowOff>
    </xdr:from>
    <xdr:to>
      <xdr:col>15</xdr:col>
      <xdr:colOff>2292350</xdr:colOff>
      <xdr:row>70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7A451-5BCA-47A0-9391-61E64616A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53</xdr:row>
      <xdr:rowOff>96837</xdr:rowOff>
    </xdr:from>
    <xdr:to>
      <xdr:col>14</xdr:col>
      <xdr:colOff>73025</xdr:colOff>
      <xdr:row>70</xdr:row>
      <xdr:rowOff>93662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F88450-1697-4F85-B2D3-6D2FDC9CE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512329</xdr:colOff>
      <xdr:row>47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755FF8-7797-4C3B-8D85-212D7D46A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08" t="10065" r="29979" b="5566"/>
        <a:stretch/>
      </xdr:blipFill>
      <xdr:spPr>
        <a:xfrm>
          <a:off x="0" y="0"/>
          <a:ext cx="12094729" cy="853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atista.com/statistics/269399/global-server-systems-factory-revenue-by-corporate-family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academy.com/blog/aws-regions-and-availability-zones-the-simplest-explanation-you-will-ever-find-around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78B6-0239-4802-B691-A2FF1BE4312D}">
  <dimension ref="A1:G19"/>
  <sheetViews>
    <sheetView tabSelected="1" zoomScale="90" zoomScaleNormal="90" workbookViewId="0">
      <selection activeCell="B20" sqref="B20"/>
    </sheetView>
  </sheetViews>
  <sheetFormatPr defaultColWidth="8.81640625" defaultRowHeight="14.5" x14ac:dyDescent="0.35"/>
  <cols>
    <col min="1" max="1" width="11.81640625" customWidth="1"/>
    <col min="4" max="4" width="12.453125" customWidth="1"/>
    <col min="5" max="5" width="28" customWidth="1"/>
    <col min="6" max="6" width="28.1796875" customWidth="1"/>
    <col min="7" max="7" width="12.1796875" customWidth="1"/>
    <col min="10" max="10" width="24.81640625" bestFit="1" customWidth="1"/>
  </cols>
  <sheetData>
    <row r="1" spans="1:7" x14ac:dyDescent="0.35">
      <c r="A1" t="s">
        <v>108</v>
      </c>
    </row>
    <row r="2" spans="1:7" x14ac:dyDescent="0.35">
      <c r="A2" s="20" t="s">
        <v>102</v>
      </c>
      <c r="B2" s="20" t="s">
        <v>1</v>
      </c>
      <c r="C2" s="20" t="s">
        <v>106</v>
      </c>
      <c r="D2" s="20" t="s">
        <v>2</v>
      </c>
      <c r="E2" s="20" t="s">
        <v>4</v>
      </c>
      <c r="F2" s="20" t="s">
        <v>5</v>
      </c>
      <c r="G2" s="20" t="s">
        <v>0</v>
      </c>
    </row>
    <row r="3" spans="1:7" x14ac:dyDescent="0.35">
      <c r="A3" s="20" t="s">
        <v>101</v>
      </c>
      <c r="B3" s="2">
        <f>$B$16</f>
        <v>0.53029574323922124</v>
      </c>
      <c r="C3">
        <v>2501</v>
      </c>
      <c r="D3">
        <v>1</v>
      </c>
      <c r="E3" s="26">
        <f>1/12</f>
        <v>8.3333333333333329E-2</v>
      </c>
      <c r="F3" s="26">
        <f>E3*D3*1/(D3+4)</f>
        <v>1.6666666666666666E-2</v>
      </c>
      <c r="G3" s="26">
        <f>B3*C3*(E3-F3)</f>
        <v>88.417976922752814</v>
      </c>
    </row>
    <row r="4" spans="1:7" x14ac:dyDescent="0.35">
      <c r="A4" s="20" t="s">
        <v>100</v>
      </c>
      <c r="B4" s="2">
        <f t="shared" ref="B4:B14" si="0">$B$16</f>
        <v>0.53029574323922124</v>
      </c>
      <c r="C4">
        <v>2659</v>
      </c>
      <c r="D4">
        <v>2</v>
      </c>
      <c r="E4" s="26">
        <f>1/12</f>
        <v>8.3333333333333329E-2</v>
      </c>
      <c r="F4" s="26">
        <f t="shared" ref="F4:F13" si="1">E4*D4*1/(D4+4)</f>
        <v>2.7777777777777776E-2</v>
      </c>
      <c r="G4" s="26">
        <f t="shared" ref="G4:G14" si="2">B4*C4*(E4-F4)</f>
        <v>78.336465626282731</v>
      </c>
    </row>
    <row r="5" spans="1:7" x14ac:dyDescent="0.35">
      <c r="A5" s="20" t="s">
        <v>99</v>
      </c>
      <c r="B5" s="2">
        <f t="shared" si="0"/>
        <v>0.53029574323922124</v>
      </c>
      <c r="C5">
        <f>11955-1861-SUM(C3:C4)</f>
        <v>4934</v>
      </c>
      <c r="D5">
        <v>3</v>
      </c>
      <c r="E5" s="26">
        <f t="shared" ref="E5:E14" si="3">1/12</f>
        <v>8.3333333333333329E-2</v>
      </c>
      <c r="F5" s="26">
        <f t="shared" si="1"/>
        <v>3.5714285714285712E-2</v>
      </c>
      <c r="G5" s="26">
        <f t="shared" si="2"/>
        <v>124.59424748296749</v>
      </c>
    </row>
    <row r="6" spans="1:7" x14ac:dyDescent="0.35">
      <c r="A6" s="20" t="s">
        <v>98</v>
      </c>
      <c r="B6" s="2">
        <f t="shared" si="0"/>
        <v>0.53029574323922124</v>
      </c>
      <c r="C6">
        <v>3098</v>
      </c>
      <c r="D6">
        <v>4</v>
      </c>
      <c r="E6" s="26">
        <f t="shared" si="3"/>
        <v>8.3333333333333329E-2</v>
      </c>
      <c r="F6" s="26">
        <f t="shared" si="1"/>
        <v>4.1666666666666664E-2</v>
      </c>
      <c r="G6" s="26">
        <f t="shared" si="2"/>
        <v>68.452342189796141</v>
      </c>
    </row>
    <row r="7" spans="1:7" x14ac:dyDescent="0.35">
      <c r="A7" s="20" t="s">
        <v>97</v>
      </c>
      <c r="B7" s="2">
        <f t="shared" si="0"/>
        <v>0.53029574323922124</v>
      </c>
      <c r="C7">
        <v>3243</v>
      </c>
      <c r="D7">
        <v>5</v>
      </c>
      <c r="E7" s="26">
        <f t="shared" si="3"/>
        <v>8.3333333333333329E-2</v>
      </c>
      <c r="F7" s="26">
        <f t="shared" si="1"/>
        <v>4.6296296296296294E-2</v>
      </c>
      <c r="G7" s="26">
        <f t="shared" si="2"/>
        <v>63.694410937955354</v>
      </c>
    </row>
    <row r="8" spans="1:7" x14ac:dyDescent="0.35">
      <c r="A8" s="20" t="s">
        <v>95</v>
      </c>
      <c r="B8" s="2">
        <f t="shared" si="0"/>
        <v>0.53029574323922124</v>
      </c>
      <c r="C8">
        <v>3352</v>
      </c>
      <c r="D8">
        <v>6</v>
      </c>
      <c r="E8" s="26">
        <f t="shared" si="3"/>
        <v>8.3333333333333329E-2</v>
      </c>
      <c r="F8" s="26">
        <f t="shared" si="1"/>
        <v>0.05</v>
      </c>
      <c r="G8" s="26">
        <f t="shared" si="2"/>
        <v>59.251711044595645</v>
      </c>
    </row>
    <row r="9" spans="1:7" x14ac:dyDescent="0.35">
      <c r="A9" s="20" t="s">
        <v>94</v>
      </c>
      <c r="B9" s="2">
        <f t="shared" si="0"/>
        <v>0.53029574323922124</v>
      </c>
      <c r="C9">
        <f>13427-SUM(C6:C8)</f>
        <v>3734</v>
      </c>
      <c r="D9">
        <v>7</v>
      </c>
      <c r="E9" s="26">
        <f t="shared" si="3"/>
        <v>8.3333333333333329E-2</v>
      </c>
      <c r="F9" s="26">
        <f t="shared" si="1"/>
        <v>5.3030303030303025E-2</v>
      </c>
      <c r="G9" s="26">
        <f t="shared" si="2"/>
        <v>60.003766825916728</v>
      </c>
    </row>
    <row r="10" spans="1:7" x14ac:dyDescent="0.35">
      <c r="A10" s="20" t="s">
        <v>93</v>
      </c>
      <c r="B10" s="2">
        <f t="shared" si="0"/>
        <v>0.53029574323922124</v>
      </c>
      <c r="C10">
        <v>3290</v>
      </c>
      <c r="D10">
        <v>8</v>
      </c>
      <c r="E10" s="26">
        <f t="shared" si="3"/>
        <v>8.3333333333333329E-2</v>
      </c>
      <c r="F10" s="26">
        <f t="shared" si="1"/>
        <v>5.5555555555555552E-2</v>
      </c>
      <c r="G10" s="26">
        <f t="shared" si="2"/>
        <v>48.463138757139937</v>
      </c>
    </row>
    <row r="11" spans="1:7" x14ac:dyDescent="0.35">
      <c r="A11" s="20" t="s">
        <v>92</v>
      </c>
      <c r="B11" s="2">
        <f t="shared" si="0"/>
        <v>0.53029574323922124</v>
      </c>
      <c r="C11">
        <v>3562</v>
      </c>
      <c r="D11">
        <v>9</v>
      </c>
      <c r="E11" s="26">
        <f t="shared" si="3"/>
        <v>8.3333333333333329E-2</v>
      </c>
      <c r="F11" s="26">
        <f t="shared" si="1"/>
        <v>5.7692307692307696E-2</v>
      </c>
      <c r="G11" s="26">
        <f t="shared" si="2"/>
        <v>48.433677882515525</v>
      </c>
    </row>
    <row r="12" spans="1:7" x14ac:dyDescent="0.35">
      <c r="A12" s="20" t="s">
        <v>91</v>
      </c>
      <c r="B12" s="2">
        <f t="shared" si="0"/>
        <v>0.53029574323922124</v>
      </c>
      <c r="C12">
        <f>4697</f>
        <v>4697</v>
      </c>
      <c r="D12">
        <v>10</v>
      </c>
      <c r="E12" s="26">
        <f t="shared" si="3"/>
        <v>8.3333333333333329E-2</v>
      </c>
      <c r="F12" s="26">
        <f>E12*D12*1/(D12+4)</f>
        <v>5.9523809523809521E-2</v>
      </c>
      <c r="G12" s="26">
        <f t="shared" si="2"/>
        <v>59.304740618919567</v>
      </c>
    </row>
    <row r="13" spans="1:7" x14ac:dyDescent="0.35">
      <c r="A13" s="20" t="s">
        <v>90</v>
      </c>
      <c r="B13" s="2">
        <f t="shared" si="0"/>
        <v>0.53029574323922124</v>
      </c>
      <c r="C13">
        <f>16861-SUM(C10:C12)</f>
        <v>5312</v>
      </c>
      <c r="D13">
        <v>11</v>
      </c>
      <c r="E13" s="26">
        <f t="shared" si="3"/>
        <v>8.3333333333333329E-2</v>
      </c>
      <c r="F13" s="26">
        <f t="shared" si="1"/>
        <v>6.1111111111111109E-2</v>
      </c>
      <c r="G13" s="26">
        <f t="shared" si="2"/>
        <v>62.598466401927617</v>
      </c>
    </row>
    <row r="14" spans="1:7" x14ac:dyDescent="0.35">
      <c r="A14" s="25" t="s">
        <v>89</v>
      </c>
      <c r="B14" s="2">
        <f t="shared" si="0"/>
        <v>0.53029574323922124</v>
      </c>
      <c r="C14" s="1">
        <f>(1+0.061975*(1-0.067))*C10</f>
        <v>3480.23660075</v>
      </c>
      <c r="D14">
        <v>12</v>
      </c>
      <c r="E14" s="26">
        <f t="shared" si="3"/>
        <v>8.3333333333333329E-2</v>
      </c>
      <c r="F14" s="26">
        <f>E14*D14*1/(D14+4)</f>
        <v>6.25E-2</v>
      </c>
      <c r="G14" s="26">
        <f t="shared" si="2"/>
        <v>38.449055309230452</v>
      </c>
    </row>
    <row r="15" spans="1:7" x14ac:dyDescent="0.35">
      <c r="B15">
        <f>C6/1861</f>
        <v>1.6646963997850619</v>
      </c>
      <c r="C15">
        <f>C10/C6</f>
        <v>1.0619754680438993</v>
      </c>
      <c r="F15" s="20" t="s">
        <v>159</v>
      </c>
      <c r="G15">
        <f>SUM(G3:G14)</f>
        <v>800</v>
      </c>
    </row>
    <row r="16" spans="1:7" x14ac:dyDescent="0.35">
      <c r="A16" s="20" t="s">
        <v>1</v>
      </c>
      <c r="B16" s="35">
        <v>0.53029574323922124</v>
      </c>
      <c r="F16" s="20" t="s">
        <v>160</v>
      </c>
      <c r="G16">
        <v>800</v>
      </c>
    </row>
    <row r="17" spans="1:7" x14ac:dyDescent="0.35">
      <c r="A17" s="21" t="s">
        <v>96</v>
      </c>
      <c r="F17" s="20" t="s">
        <v>161</v>
      </c>
      <c r="G17" s="42">
        <f>G15-G16</f>
        <v>0</v>
      </c>
    </row>
    <row r="18" spans="1:7" x14ac:dyDescent="0.35">
      <c r="F18" s="20"/>
    </row>
    <row r="19" spans="1:7" x14ac:dyDescent="0.35">
      <c r="B19" s="45"/>
      <c r="C19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ECAE-0540-419B-8CB9-AB77633FBA07}">
  <dimension ref="A1:Q17"/>
  <sheetViews>
    <sheetView zoomScale="79" zoomScaleNormal="115" workbookViewId="0">
      <selection activeCell="G32" sqref="G32"/>
    </sheetView>
  </sheetViews>
  <sheetFormatPr defaultColWidth="8.81640625" defaultRowHeight="14.5" x14ac:dyDescent="0.35"/>
  <cols>
    <col min="1" max="1" width="11.81640625" customWidth="1"/>
    <col min="2" max="2" width="8.36328125" customWidth="1"/>
    <col min="3" max="3" width="6.81640625" customWidth="1"/>
    <col min="4" max="4" width="9.6328125" bestFit="1" customWidth="1"/>
    <col min="5" max="5" width="28" customWidth="1"/>
    <col min="6" max="6" width="24.81640625" customWidth="1"/>
    <col min="7" max="7" width="10.36328125" customWidth="1"/>
    <col min="9" max="9" width="19.6328125" customWidth="1"/>
    <col min="16" max="16" width="11.6328125" customWidth="1"/>
  </cols>
  <sheetData>
    <row r="1" spans="1:17" x14ac:dyDescent="0.35">
      <c r="A1" t="s">
        <v>108</v>
      </c>
      <c r="I1" s="34" t="s">
        <v>111</v>
      </c>
      <c r="J1" s="20"/>
    </row>
    <row r="2" spans="1:17" x14ac:dyDescent="0.35">
      <c r="A2" s="20" t="s">
        <v>102</v>
      </c>
      <c r="B2" s="20" t="s">
        <v>1</v>
      </c>
      <c r="C2" s="20" t="s">
        <v>106</v>
      </c>
      <c r="D2" s="20" t="s">
        <v>2</v>
      </c>
      <c r="E2" s="20" t="s">
        <v>4</v>
      </c>
      <c r="F2" s="20" t="s">
        <v>5</v>
      </c>
      <c r="G2" s="20" t="s">
        <v>0</v>
      </c>
      <c r="I2" s="34" t="s">
        <v>3</v>
      </c>
      <c r="J2" s="20"/>
    </row>
    <row r="3" spans="1:17" x14ac:dyDescent="0.35">
      <c r="A3" s="20" t="s">
        <v>101</v>
      </c>
      <c r="B3" s="22">
        <f>$B$16*(1+I3)</f>
        <v>0.51562934182435372</v>
      </c>
      <c r="C3" s="21">
        <v>2501</v>
      </c>
      <c r="D3" s="21">
        <v>1</v>
      </c>
      <c r="E3" s="27">
        <f>1/12</f>
        <v>8.3333333333333329E-2</v>
      </c>
      <c r="F3" s="27">
        <f>E3*D3*1/(D3+4)</f>
        <v>1.6666666666666666E-2</v>
      </c>
      <c r="G3" s="27">
        <f>B3*C3*(E3-F3)</f>
        <v>85.97259892684724</v>
      </c>
      <c r="H3" s="20" t="s">
        <v>103</v>
      </c>
      <c r="I3">
        <v>6.0999999999999999E-2</v>
      </c>
    </row>
    <row r="4" spans="1:17" x14ac:dyDescent="0.35">
      <c r="A4" s="20" t="s">
        <v>100</v>
      </c>
      <c r="B4" s="22">
        <f>$B$16*(1+J4)</f>
        <v>0.56957359907459237</v>
      </c>
      <c r="C4" s="21">
        <v>2659</v>
      </c>
      <c r="D4" s="21">
        <v>2</v>
      </c>
      <c r="E4" s="27">
        <f>1/12</f>
        <v>8.3333333333333329E-2</v>
      </c>
      <c r="F4" s="27">
        <f t="shared" ref="F4:F13" si="0">E4*D4*1/(D4+4)</f>
        <v>2.7777777777777776E-2</v>
      </c>
      <c r="G4" s="27">
        <f t="shared" ref="G4:G14" si="1">B4*C4*(E4-F4)</f>
        <v>84.138677774407839</v>
      </c>
      <c r="I4" s="36">
        <v>1.875</v>
      </c>
      <c r="J4">
        <v>0.17199999999999999</v>
      </c>
      <c r="K4" t="s">
        <v>112</v>
      </c>
      <c r="Q4" t="s">
        <v>113</v>
      </c>
    </row>
    <row r="5" spans="1:17" x14ac:dyDescent="0.35">
      <c r="A5" s="20" t="s">
        <v>99</v>
      </c>
      <c r="B5" s="22">
        <f t="shared" ref="B5:B13" si="2">$B$16*(1+I5)</f>
        <v>0.56860163047548895</v>
      </c>
      <c r="C5" s="21">
        <f>11955-1861-SUM(C3:C4)</f>
        <v>4934</v>
      </c>
      <c r="D5" s="21">
        <v>3</v>
      </c>
      <c r="E5" s="27">
        <f t="shared" ref="E5:E14" si="3">1/12</f>
        <v>8.3333333333333329E-2</v>
      </c>
      <c r="F5" s="27">
        <f t="shared" si="0"/>
        <v>3.5714285714285712E-2</v>
      </c>
      <c r="G5" s="27">
        <f t="shared" si="1"/>
        <v>133.59430689362202</v>
      </c>
      <c r="I5">
        <v>0.17</v>
      </c>
    </row>
    <row r="6" spans="1:17" x14ac:dyDescent="0.35">
      <c r="A6" s="20" t="s">
        <v>98</v>
      </c>
      <c r="B6" s="22">
        <f t="shared" si="2"/>
        <v>0.5010498128378027</v>
      </c>
      <c r="C6" s="21">
        <v>3098</v>
      </c>
      <c r="D6" s="21">
        <v>4</v>
      </c>
      <c r="E6" s="27">
        <f t="shared" si="3"/>
        <v>8.3333333333333329E-2</v>
      </c>
      <c r="F6" s="27">
        <f t="shared" si="0"/>
        <v>4.1666666666666664E-2</v>
      </c>
      <c r="G6" s="27">
        <f t="shared" si="1"/>
        <v>64.677180007146362</v>
      </c>
      <c r="I6">
        <v>3.1E-2</v>
      </c>
      <c r="K6" t="s">
        <v>114</v>
      </c>
    </row>
    <row r="7" spans="1:17" x14ac:dyDescent="0.35">
      <c r="A7" s="20" t="s">
        <v>97</v>
      </c>
      <c r="B7" s="22">
        <f t="shared" si="2"/>
        <v>0.52583501211493944</v>
      </c>
      <c r="C7" s="21">
        <v>3243</v>
      </c>
      <c r="D7" s="21">
        <v>5</v>
      </c>
      <c r="E7" s="27">
        <f t="shared" si="3"/>
        <v>8.3333333333333329E-2</v>
      </c>
      <c r="F7" s="27">
        <f t="shared" si="0"/>
        <v>4.6296296296296294E-2</v>
      </c>
      <c r="G7" s="27">
        <f t="shared" si="1"/>
        <v>63.158627566249947</v>
      </c>
      <c r="I7">
        <v>8.2000000000000003E-2</v>
      </c>
    </row>
    <row r="8" spans="1:17" x14ac:dyDescent="0.35">
      <c r="A8" s="20" t="s">
        <v>95</v>
      </c>
      <c r="B8" s="22">
        <f t="shared" si="2"/>
        <v>0.58075123796428152</v>
      </c>
      <c r="C8" s="21">
        <v>3352</v>
      </c>
      <c r="D8" s="21">
        <v>6</v>
      </c>
      <c r="E8" s="27">
        <f t="shared" si="3"/>
        <v>8.3333333333333329E-2</v>
      </c>
      <c r="F8" s="27">
        <f t="shared" si="0"/>
        <v>0.05</v>
      </c>
      <c r="G8" s="27">
        <f t="shared" si="1"/>
        <v>64.889271655209043</v>
      </c>
      <c r="I8">
        <v>0.19500000000000001</v>
      </c>
    </row>
    <row r="9" spans="1:17" x14ac:dyDescent="0.35">
      <c r="A9" s="20" t="s">
        <v>94</v>
      </c>
      <c r="B9" s="22">
        <f t="shared" si="2"/>
        <v>0.55402210148893805</v>
      </c>
      <c r="C9" s="21">
        <f>13427-SUM(C6:C8)</f>
        <v>3734</v>
      </c>
      <c r="D9" s="21">
        <v>7</v>
      </c>
      <c r="E9" s="27">
        <f t="shared" si="3"/>
        <v>8.3333333333333329E-2</v>
      </c>
      <c r="F9" s="27">
        <f t="shared" si="0"/>
        <v>5.3030303030303025E-2</v>
      </c>
      <c r="G9" s="27">
        <f t="shared" si="1"/>
        <v>62.688440210899842</v>
      </c>
      <c r="I9">
        <v>0.14000000000000001</v>
      </c>
    </row>
    <row r="10" spans="1:17" x14ac:dyDescent="0.35">
      <c r="A10" s="20" t="s">
        <v>93</v>
      </c>
      <c r="B10" s="22">
        <f t="shared" si="2"/>
        <v>0.36789011476063693</v>
      </c>
      <c r="C10" s="21">
        <v>3290</v>
      </c>
      <c r="D10" s="21">
        <v>8</v>
      </c>
      <c r="E10" s="27">
        <f t="shared" si="3"/>
        <v>8.3333333333333329E-2</v>
      </c>
      <c r="F10" s="27">
        <f t="shared" si="0"/>
        <v>5.5555555555555552E-2</v>
      </c>
      <c r="G10" s="27">
        <f t="shared" si="1"/>
        <v>33.62106882118043</v>
      </c>
      <c r="I10">
        <v>-0.24299999999999999</v>
      </c>
    </row>
    <row r="11" spans="1:17" x14ac:dyDescent="0.35">
      <c r="A11" s="20" t="s">
        <v>92</v>
      </c>
      <c r="B11" s="22">
        <f t="shared" si="2"/>
        <v>0.46703091186918372</v>
      </c>
      <c r="C11" s="21">
        <v>3562</v>
      </c>
      <c r="D11" s="21">
        <v>9</v>
      </c>
      <c r="E11" s="27">
        <f t="shared" si="3"/>
        <v>8.3333333333333329E-2</v>
      </c>
      <c r="F11" s="27">
        <f t="shared" si="0"/>
        <v>5.7692307692307696E-2</v>
      </c>
      <c r="G11" s="27">
        <f t="shared" si="1"/>
        <v>42.655489950718767</v>
      </c>
      <c r="I11">
        <v>-3.9E-2</v>
      </c>
    </row>
    <row r="12" spans="1:17" x14ac:dyDescent="0.35">
      <c r="A12" s="20" t="s">
        <v>91</v>
      </c>
      <c r="B12" s="22">
        <f t="shared" si="2"/>
        <v>0.45196539858308099</v>
      </c>
      <c r="C12" s="21">
        <f>4697</f>
        <v>4697</v>
      </c>
      <c r="D12" s="21">
        <v>10</v>
      </c>
      <c r="E12" s="27">
        <f t="shared" si="3"/>
        <v>8.3333333333333329E-2</v>
      </c>
      <c r="F12" s="27">
        <f>E12*D12*1/(D12+4)</f>
        <v>5.9523809523809521E-2</v>
      </c>
      <c r="G12" s="27">
        <f t="shared" si="1"/>
        <v>50.544797074874552</v>
      </c>
      <c r="I12">
        <v>-7.0000000000000007E-2</v>
      </c>
    </row>
    <row r="13" spans="1:17" x14ac:dyDescent="0.35">
      <c r="A13" s="20" t="s">
        <v>90</v>
      </c>
      <c r="B13" s="22">
        <f t="shared" si="2"/>
        <v>0.6677424275840359</v>
      </c>
      <c r="C13" s="21">
        <f>16861-SUM(C10:C12)</f>
        <v>5312</v>
      </c>
      <c r="D13" s="21">
        <v>11</v>
      </c>
      <c r="E13" s="27">
        <f t="shared" si="3"/>
        <v>8.3333333333333329E-2</v>
      </c>
      <c r="F13" s="27">
        <f t="shared" si="0"/>
        <v>6.1111111111111109E-2</v>
      </c>
      <c r="G13" s="27">
        <f t="shared" si="1"/>
        <v>78.823283896142186</v>
      </c>
      <c r="I13">
        <v>0.374</v>
      </c>
    </row>
    <row r="14" spans="1:17" x14ac:dyDescent="0.35">
      <c r="A14" s="25" t="s">
        <v>89</v>
      </c>
      <c r="B14" s="22">
        <f t="shared" ref="B14" si="4">$B$16</f>
        <v>0.48598429955170003</v>
      </c>
      <c r="C14" s="23">
        <f>(1+0.061975*(1-0.067))*C10</f>
        <v>3480.23660075</v>
      </c>
      <c r="D14" s="21">
        <v>12</v>
      </c>
      <c r="E14" s="27">
        <f t="shared" si="3"/>
        <v>8.3333333333333329E-2</v>
      </c>
      <c r="F14" s="27">
        <f>E14*D14*1/(D14+4)</f>
        <v>6.25E-2</v>
      </c>
      <c r="G14" s="27">
        <f t="shared" si="1"/>
        <v>35.236257222701624</v>
      </c>
    </row>
    <row r="15" spans="1:17" x14ac:dyDescent="0.35">
      <c r="A15" s="21"/>
      <c r="B15" s="21">
        <f>C6/1861</f>
        <v>1.6646963997850619</v>
      </c>
      <c r="C15" s="21">
        <f>C10/C6</f>
        <v>1.0619754680438993</v>
      </c>
      <c r="D15" s="21"/>
      <c r="E15" s="21"/>
      <c r="F15" s="21"/>
      <c r="G15" s="21">
        <f>SUM(G3:G14)</f>
        <v>799.99999999999977</v>
      </c>
    </row>
    <row r="16" spans="1:17" x14ac:dyDescent="0.35">
      <c r="A16" s="20" t="s">
        <v>1</v>
      </c>
      <c r="B16" s="24">
        <v>0.48598429955170003</v>
      </c>
      <c r="C16" s="21"/>
      <c r="D16" s="21"/>
      <c r="E16" s="21"/>
      <c r="F16" s="21"/>
      <c r="G16" s="21">
        <v>800</v>
      </c>
    </row>
    <row r="17" spans="1:1" x14ac:dyDescent="0.35">
      <c r="A17" s="2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169A-D13A-492E-990B-A9B96B94C664}">
  <dimension ref="A1:P30"/>
  <sheetViews>
    <sheetView zoomScale="65" zoomScaleNormal="65" workbookViewId="0">
      <selection sqref="A1:XFD1"/>
    </sheetView>
  </sheetViews>
  <sheetFormatPr defaultColWidth="8.81640625" defaultRowHeight="14.5" x14ac:dyDescent="0.35"/>
  <cols>
    <col min="1" max="1" width="13.7265625" customWidth="1"/>
    <col min="2" max="2" width="10.7265625" customWidth="1"/>
    <col min="3" max="3" width="6.81640625" customWidth="1"/>
    <col min="4" max="4" width="9.6328125" customWidth="1"/>
    <col min="5" max="5" width="28" customWidth="1"/>
    <col min="6" max="6" width="24.81640625" customWidth="1"/>
    <col min="7" max="7" width="11.1796875" customWidth="1"/>
    <col min="9" max="9" width="11.1796875" customWidth="1"/>
    <col min="10" max="10" width="22" bestFit="1" customWidth="1"/>
    <col min="11" max="11" width="25.90625" customWidth="1"/>
    <col min="12" max="12" width="32.54296875" customWidth="1"/>
    <col min="13" max="13" width="27.36328125" customWidth="1"/>
    <col min="14" max="14" width="16.81640625" customWidth="1"/>
    <col min="20" max="20" width="11.6328125" customWidth="1"/>
  </cols>
  <sheetData>
    <row r="1" spans="1:16" x14ac:dyDescent="0.35">
      <c r="A1" t="s">
        <v>108</v>
      </c>
      <c r="I1" t="s">
        <v>120</v>
      </c>
      <c r="J1" t="s">
        <v>155</v>
      </c>
      <c r="K1" t="s">
        <v>156</v>
      </c>
      <c r="L1" t="s">
        <v>157</v>
      </c>
      <c r="M1" s="34" t="s">
        <v>115</v>
      </c>
      <c r="N1" s="20"/>
    </row>
    <row r="2" spans="1:16" x14ac:dyDescent="0.35">
      <c r="A2" s="20" t="s">
        <v>102</v>
      </c>
      <c r="B2" s="20" t="s">
        <v>1</v>
      </c>
      <c r="C2" s="20" t="s">
        <v>106</v>
      </c>
      <c r="D2" s="20" t="s">
        <v>2</v>
      </c>
      <c r="E2" s="20" t="s">
        <v>4</v>
      </c>
      <c r="F2" s="20" t="s">
        <v>5</v>
      </c>
      <c r="G2" s="20" t="s">
        <v>0</v>
      </c>
      <c r="H2" t="s">
        <v>103</v>
      </c>
      <c r="I2">
        <v>51</v>
      </c>
      <c r="J2" s="40"/>
      <c r="K2">
        <v>5.0999999999999996</v>
      </c>
      <c r="M2" s="34" t="s">
        <v>3</v>
      </c>
      <c r="N2" s="20"/>
    </row>
    <row r="3" spans="1:16" x14ac:dyDescent="0.35">
      <c r="A3" s="20" t="s">
        <v>101</v>
      </c>
      <c r="B3" s="22">
        <f t="shared" ref="B3:B13" si="0">$B$16*(1+M3)*(1+L3/5)*(1+J3)</f>
        <v>0.51606844991012812</v>
      </c>
      <c r="C3" s="21">
        <v>2501</v>
      </c>
      <c r="D3" s="21">
        <v>1</v>
      </c>
      <c r="E3" s="27">
        <f>1/12</f>
        <v>8.3333333333333329E-2</v>
      </c>
      <c r="F3" s="27">
        <f>E3*D3*1/(D3+4)</f>
        <v>1.6666666666666666E-2</v>
      </c>
      <c r="G3" s="27">
        <f>B3*C3*(E3-F3)</f>
        <v>86.045812881682025</v>
      </c>
      <c r="H3" s="20"/>
      <c r="I3" s="20">
        <v>51</v>
      </c>
      <c r="J3" s="40">
        <f t="shared" ref="J3:J12" si="1">(I4-I3)/I3</f>
        <v>0</v>
      </c>
      <c r="K3" s="38">
        <v>5.8000000000000007</v>
      </c>
      <c r="L3" s="38">
        <f>K3/K2-1</f>
        <v>0.13725490196078449</v>
      </c>
      <c r="M3">
        <v>6.0999999999999999E-2</v>
      </c>
    </row>
    <row r="4" spans="1:16" x14ac:dyDescent="0.35">
      <c r="A4" s="20" t="s">
        <v>100</v>
      </c>
      <c r="B4" s="46">
        <f>$B$16*(1+N4)*(1+L4/5)*(1+J4)</f>
        <v>0.62224024476582895</v>
      </c>
      <c r="C4" s="21">
        <v>2659</v>
      </c>
      <c r="D4" s="21">
        <v>2</v>
      </c>
      <c r="E4" s="27">
        <f>1/12</f>
        <v>8.3333333333333329E-2</v>
      </c>
      <c r="F4" s="27">
        <f t="shared" ref="F4:F13" si="2">E4*D4*1/(D4+4)</f>
        <v>2.7777777777777776E-2</v>
      </c>
      <c r="G4" s="27">
        <f t="shared" ref="G4:G14" si="3">B4*C4*(E4-F4)</f>
        <v>91.918711712907722</v>
      </c>
      <c r="I4">
        <v>51</v>
      </c>
      <c r="J4" s="40">
        <f t="shared" si="1"/>
        <v>0.11764705882352941</v>
      </c>
      <c r="K4" s="38">
        <v>5.8999999999999995</v>
      </c>
      <c r="L4" s="38">
        <f t="shared" ref="L4:L13" si="4">K4/K3-1</f>
        <v>1.7241379310344529E-2</v>
      </c>
      <c r="M4" s="44">
        <v>1.875</v>
      </c>
      <c r="N4" s="44">
        <v>0.17199999999999999</v>
      </c>
      <c r="O4" t="s">
        <v>112</v>
      </c>
    </row>
    <row r="5" spans="1:16" x14ac:dyDescent="0.35">
      <c r="A5" s="20" t="s">
        <v>99</v>
      </c>
      <c r="B5" s="22">
        <f>$B$16*(1+M5)*(1+L5/5)*(1+J5)</f>
        <v>0.55763639302964196</v>
      </c>
      <c r="C5" s="21">
        <f>11955-1861-SUM(C3:C4)</f>
        <v>4934</v>
      </c>
      <c r="D5" s="21">
        <v>3</v>
      </c>
      <c r="E5" s="27">
        <f t="shared" ref="E5:E14" si="5">1/12</f>
        <v>8.3333333333333329E-2</v>
      </c>
      <c r="F5" s="27">
        <f t="shared" si="2"/>
        <v>3.5714285714285712E-2</v>
      </c>
      <c r="G5" s="27">
        <f t="shared" si="3"/>
        <v>131.01799824801205</v>
      </c>
      <c r="I5">
        <f>I4+C25+C26</f>
        <v>57</v>
      </c>
      <c r="J5" s="40">
        <f t="shared" si="1"/>
        <v>0</v>
      </c>
      <c r="K5" s="38">
        <v>6.1</v>
      </c>
      <c r="L5" s="38">
        <f t="shared" si="4"/>
        <v>3.3898305084745894E-2</v>
      </c>
      <c r="M5" s="45">
        <v>0.17</v>
      </c>
      <c r="N5" s="45"/>
    </row>
    <row r="6" spans="1:16" x14ac:dyDescent="0.35">
      <c r="A6" s="20" t="s">
        <v>98</v>
      </c>
      <c r="B6" s="22">
        <f t="shared" si="0"/>
        <v>0.48967853446376458</v>
      </c>
      <c r="C6" s="21">
        <v>3098</v>
      </c>
      <c r="D6" s="21">
        <v>4</v>
      </c>
      <c r="E6" s="27">
        <f t="shared" si="5"/>
        <v>8.3333333333333329E-2</v>
      </c>
      <c r="F6" s="27">
        <f t="shared" si="2"/>
        <v>4.1666666666666664E-2</v>
      </c>
      <c r="G6" s="27">
        <f t="shared" si="3"/>
        <v>63.209337490364277</v>
      </c>
      <c r="I6">
        <f>I5</f>
        <v>57</v>
      </c>
      <c r="J6" s="40">
        <f t="shared" si="1"/>
        <v>0</v>
      </c>
      <c r="K6" s="38">
        <v>6.2</v>
      </c>
      <c r="L6" s="38">
        <f t="shared" si="4"/>
        <v>1.6393442622950838E-2</v>
      </c>
      <c r="M6">
        <v>3.1E-2</v>
      </c>
    </row>
    <row r="7" spans="1:16" x14ac:dyDescent="0.35">
      <c r="A7" s="20" t="s">
        <v>97</v>
      </c>
      <c r="B7" s="22">
        <f t="shared" si="0"/>
        <v>0.51222182017074291</v>
      </c>
      <c r="C7" s="21">
        <v>3243</v>
      </c>
      <c r="D7" s="21">
        <v>5</v>
      </c>
      <c r="E7" s="27">
        <f t="shared" si="5"/>
        <v>8.3333333333333329E-2</v>
      </c>
      <c r="F7" s="27">
        <f t="shared" si="2"/>
        <v>4.6296296296296294E-2</v>
      </c>
      <c r="G7" s="27">
        <f t="shared" si="3"/>
        <v>61.523531956063671</v>
      </c>
      <c r="I7">
        <f>I5</f>
        <v>57</v>
      </c>
      <c r="J7" s="40">
        <f t="shared" si="1"/>
        <v>0</v>
      </c>
      <c r="K7" s="38">
        <v>6.2</v>
      </c>
      <c r="L7" s="38">
        <f t="shared" si="4"/>
        <v>0</v>
      </c>
      <c r="M7">
        <v>8.2000000000000003E-2</v>
      </c>
    </row>
    <row r="8" spans="1:16" x14ac:dyDescent="0.35">
      <c r="A8" s="20" t="s">
        <v>95</v>
      </c>
      <c r="B8" s="22">
        <f t="shared" si="0"/>
        <v>0.61719748259347207</v>
      </c>
      <c r="C8" s="21">
        <v>3352</v>
      </c>
      <c r="D8" s="21">
        <v>6</v>
      </c>
      <c r="E8" s="27">
        <f t="shared" si="5"/>
        <v>8.3333333333333329E-2</v>
      </c>
      <c r="F8" s="27">
        <f t="shared" si="2"/>
        <v>0.05</v>
      </c>
      <c r="G8" s="27">
        <f t="shared" si="3"/>
        <v>68.961532055110595</v>
      </c>
      <c r="I8">
        <f>I5</f>
        <v>57</v>
      </c>
      <c r="J8" s="40">
        <f t="shared" si="1"/>
        <v>0.10526315789473684</v>
      </c>
      <c r="K8" s="38">
        <v>5.8000000000000007</v>
      </c>
      <c r="L8" s="38">
        <f t="shared" si="4"/>
        <v>-6.4516129032258007E-2</v>
      </c>
      <c r="M8">
        <v>0.19500000000000001</v>
      </c>
    </row>
    <row r="9" spans="1:16" x14ac:dyDescent="0.35">
      <c r="A9" s="20" t="s">
        <v>94</v>
      </c>
      <c r="B9" s="22">
        <f t="shared" si="0"/>
        <v>0.52665244318785476</v>
      </c>
      <c r="C9" s="21">
        <f>13427-SUM(C6:C8)</f>
        <v>3734</v>
      </c>
      <c r="D9" s="21">
        <v>7</v>
      </c>
      <c r="E9" s="27">
        <f t="shared" si="5"/>
        <v>8.3333333333333329E-2</v>
      </c>
      <c r="F9" s="27">
        <f t="shared" si="2"/>
        <v>5.3030303030303025E-2</v>
      </c>
      <c r="G9" s="27">
        <f t="shared" si="3"/>
        <v>59.591521904953019</v>
      </c>
      <c r="I9">
        <f>I8+C27+C28</f>
        <v>63</v>
      </c>
      <c r="J9" s="40">
        <f t="shared" si="1"/>
        <v>0</v>
      </c>
      <c r="K9" s="38">
        <v>5.0999999999999996</v>
      </c>
      <c r="L9" s="38">
        <f t="shared" si="4"/>
        <v>-0.12068965517241392</v>
      </c>
      <c r="M9">
        <v>0.14000000000000001</v>
      </c>
    </row>
    <row r="10" spans="1:16" x14ac:dyDescent="0.35">
      <c r="A10" s="20" t="s">
        <v>93</v>
      </c>
      <c r="B10" s="22">
        <f t="shared" si="0"/>
        <v>0.35187450430808681</v>
      </c>
      <c r="C10" s="21">
        <v>3290</v>
      </c>
      <c r="D10" s="21">
        <v>8</v>
      </c>
      <c r="E10" s="27">
        <f t="shared" si="5"/>
        <v>8.3333333333333329E-2</v>
      </c>
      <c r="F10" s="27">
        <f t="shared" si="2"/>
        <v>5.5555555555555552E-2</v>
      </c>
      <c r="G10" s="27">
        <f t="shared" si="3"/>
        <v>32.157419977044597</v>
      </c>
      <c r="I10">
        <f>I9</f>
        <v>63</v>
      </c>
      <c r="J10" s="40">
        <f t="shared" si="1"/>
        <v>4.7619047619047616E-2</v>
      </c>
      <c r="K10" s="38">
        <v>3.5000000000000004</v>
      </c>
      <c r="L10" s="38">
        <f t="shared" si="4"/>
        <v>-0.31372549019607832</v>
      </c>
      <c r="M10">
        <v>-0.24299999999999999</v>
      </c>
    </row>
    <row r="11" spans="1:16" x14ac:dyDescent="0.35">
      <c r="A11" s="20" t="s">
        <v>92</v>
      </c>
      <c r="B11" s="22">
        <f t="shared" si="0"/>
        <v>0.45659440999767142</v>
      </c>
      <c r="C11" s="21">
        <v>3562</v>
      </c>
      <c r="D11" s="21">
        <v>9</v>
      </c>
      <c r="E11" s="27">
        <f t="shared" si="5"/>
        <v>8.3333333333333329E-2</v>
      </c>
      <c r="F11" s="27">
        <f t="shared" si="2"/>
        <v>5.7692307692307696E-2</v>
      </c>
      <c r="G11" s="27">
        <f t="shared" si="3"/>
        <v>41.702289446453975</v>
      </c>
      <c r="I11">
        <f>I10+C30</f>
        <v>66</v>
      </c>
      <c r="J11" s="40">
        <f>(I12-I11)/I11</f>
        <v>4.5454545454545456E-2</v>
      </c>
      <c r="K11" s="38">
        <v>2.8000000000000003</v>
      </c>
      <c r="L11" s="38">
        <f t="shared" si="4"/>
        <v>-0.20000000000000007</v>
      </c>
      <c r="M11">
        <v>-3.9E-2</v>
      </c>
    </row>
    <row r="12" spans="1:16" x14ac:dyDescent="0.35">
      <c r="A12" s="20" t="s">
        <v>91</v>
      </c>
      <c r="B12" s="22">
        <f t="shared" si="0"/>
        <v>0.44340934300890877</v>
      </c>
      <c r="C12" s="21">
        <f>4697</f>
        <v>4697</v>
      </c>
      <c r="D12" s="21">
        <v>10</v>
      </c>
      <c r="E12" s="27">
        <f t="shared" si="5"/>
        <v>8.3333333333333329E-2</v>
      </c>
      <c r="F12" s="27">
        <f>E12*D12*1/(D12+4)</f>
        <v>5.9523809523809521E-2</v>
      </c>
      <c r="G12" s="27">
        <f t="shared" si="3"/>
        <v>49.587944859829626</v>
      </c>
      <c r="I12">
        <f>I11+C29</f>
        <v>69</v>
      </c>
      <c r="J12" s="40">
        <f t="shared" si="1"/>
        <v>0</v>
      </c>
      <c r="K12" s="38">
        <v>2.9</v>
      </c>
      <c r="L12" s="38">
        <f t="shared" si="4"/>
        <v>3.5714285714285587E-2</v>
      </c>
      <c r="M12">
        <v>-7.0000000000000007E-2</v>
      </c>
    </row>
    <row r="13" spans="1:16" x14ac:dyDescent="0.35">
      <c r="A13" s="20" t="s">
        <v>90</v>
      </c>
      <c r="B13" s="22">
        <f t="shared" si="0"/>
        <v>0.6773708325457628</v>
      </c>
      <c r="C13" s="21">
        <f>16861-SUM(C10:C12)</f>
        <v>5312</v>
      </c>
      <c r="D13" s="21">
        <v>11</v>
      </c>
      <c r="E13" s="27">
        <f t="shared" si="5"/>
        <v>8.3333333333333329E-2</v>
      </c>
      <c r="F13" s="27">
        <f t="shared" si="2"/>
        <v>6.1111111111111109E-2</v>
      </c>
      <c r="G13" s="27">
        <f t="shared" si="3"/>
        <v>79.959863610735368</v>
      </c>
      <c r="I13">
        <f>I12</f>
        <v>69</v>
      </c>
      <c r="J13" s="40">
        <v>0</v>
      </c>
      <c r="K13" s="38">
        <v>3.5</v>
      </c>
      <c r="L13" s="38">
        <f t="shared" si="4"/>
        <v>0.2068965517241379</v>
      </c>
      <c r="M13">
        <v>0.374</v>
      </c>
    </row>
    <row r="14" spans="1:16" x14ac:dyDescent="0.35">
      <c r="A14" s="25" t="s">
        <v>89</v>
      </c>
      <c r="B14" s="22">
        <f>$B$16</f>
        <v>0.47340279128534457</v>
      </c>
      <c r="C14" s="23">
        <f>(1+0.061975*(1-0.067))*C10</f>
        <v>3480.23660075</v>
      </c>
      <c r="D14" s="21">
        <v>12</v>
      </c>
      <c r="E14" s="27">
        <f t="shared" si="5"/>
        <v>8.3333333333333329E-2</v>
      </c>
      <c r="F14" s="27">
        <f>E14*D14*1/(D14+4)</f>
        <v>6.25E-2</v>
      </c>
      <c r="G14" s="27">
        <f t="shared" si="3"/>
        <v>34.324035856843103</v>
      </c>
      <c r="K14" s="38"/>
      <c r="L14" s="38"/>
      <c r="P14" s="45"/>
    </row>
    <row r="15" spans="1:16" x14ac:dyDescent="0.35">
      <c r="A15" s="21"/>
      <c r="B15" s="21">
        <f>C6/1861</f>
        <v>1.6646963997850619</v>
      </c>
      <c r="C15" s="21">
        <f>C10/C6</f>
        <v>1.0619754680438993</v>
      </c>
      <c r="D15" s="21"/>
      <c r="E15" s="21"/>
      <c r="F15" s="20" t="s">
        <v>159</v>
      </c>
      <c r="G15" s="27">
        <f>SUM(G3:G14)</f>
        <v>800</v>
      </c>
      <c r="P15" s="45"/>
    </row>
    <row r="16" spans="1:16" x14ac:dyDescent="0.35">
      <c r="A16" s="20" t="s">
        <v>1</v>
      </c>
      <c r="B16" s="24">
        <v>0.47340279128534457</v>
      </c>
      <c r="C16" s="21"/>
      <c r="D16" s="21"/>
      <c r="E16" s="21"/>
      <c r="F16" s="20" t="s">
        <v>160</v>
      </c>
      <c r="G16" s="27">
        <v>800</v>
      </c>
      <c r="P16" s="45"/>
    </row>
    <row r="17" spans="1:16" x14ac:dyDescent="0.35">
      <c r="A17" s="21" t="s">
        <v>96</v>
      </c>
      <c r="F17" s="20" t="s">
        <v>161</v>
      </c>
      <c r="G17" s="43">
        <f>G15-G16</f>
        <v>0</v>
      </c>
      <c r="P17" s="45"/>
    </row>
    <row r="18" spans="1:16" x14ac:dyDescent="0.35">
      <c r="P18" s="45"/>
    </row>
    <row r="19" spans="1:16" x14ac:dyDescent="0.35">
      <c r="P19" s="45"/>
    </row>
    <row r="20" spans="1:16" x14ac:dyDescent="0.35">
      <c r="B20" s="45"/>
      <c r="C20" s="45"/>
      <c r="D20" s="45"/>
      <c r="E20" s="45"/>
      <c r="F20" s="45"/>
      <c r="G20" s="45"/>
      <c r="P20" s="45"/>
    </row>
    <row r="21" spans="1:16" x14ac:dyDescent="0.35">
      <c r="B21" s="45"/>
      <c r="C21" s="45"/>
      <c r="D21" s="45"/>
      <c r="E21" s="45"/>
      <c r="F21" s="45"/>
      <c r="G21" s="45"/>
      <c r="P21" s="45"/>
    </row>
    <row r="22" spans="1:16" x14ac:dyDescent="0.35">
      <c r="B22" s="45"/>
      <c r="C22" s="45"/>
      <c r="D22" s="45"/>
      <c r="E22" s="45"/>
      <c r="F22" s="45"/>
      <c r="G22" s="45"/>
      <c r="P22" s="45"/>
    </row>
    <row r="23" spans="1:16" x14ac:dyDescent="0.35">
      <c r="P23" s="45"/>
    </row>
    <row r="24" spans="1:16" x14ac:dyDescent="0.35">
      <c r="A24" t="s">
        <v>158</v>
      </c>
      <c r="P24" s="45"/>
    </row>
    <row r="25" spans="1:16" x14ac:dyDescent="0.35">
      <c r="A25">
        <v>2017</v>
      </c>
      <c r="B25" t="s">
        <v>142</v>
      </c>
      <c r="C25">
        <v>3</v>
      </c>
      <c r="D25" t="s">
        <v>143</v>
      </c>
      <c r="P25" s="45"/>
    </row>
    <row r="26" spans="1:16" x14ac:dyDescent="0.35">
      <c r="A26">
        <v>2017</v>
      </c>
      <c r="B26" t="s">
        <v>142</v>
      </c>
      <c r="C26">
        <v>3</v>
      </c>
      <c r="D26" t="s">
        <v>144</v>
      </c>
      <c r="P26" s="45"/>
    </row>
    <row r="27" spans="1:16" x14ac:dyDescent="0.35">
      <c r="A27">
        <v>2018</v>
      </c>
      <c r="B27" t="s">
        <v>145</v>
      </c>
      <c r="C27">
        <v>3</v>
      </c>
      <c r="D27" t="s">
        <v>146</v>
      </c>
      <c r="P27" s="45"/>
    </row>
    <row r="28" spans="1:16" x14ac:dyDescent="0.35">
      <c r="A28">
        <v>2018</v>
      </c>
      <c r="B28" t="s">
        <v>142</v>
      </c>
      <c r="C28">
        <v>3</v>
      </c>
      <c r="D28" t="s">
        <v>147</v>
      </c>
    </row>
    <row r="29" spans="1:16" x14ac:dyDescent="0.35">
      <c r="A29">
        <v>2019</v>
      </c>
      <c r="B29" t="s">
        <v>148</v>
      </c>
      <c r="C29">
        <v>3</v>
      </c>
      <c r="D29" t="s">
        <v>149</v>
      </c>
    </row>
    <row r="30" spans="1:16" x14ac:dyDescent="0.35">
      <c r="A30">
        <v>2019</v>
      </c>
      <c r="B30" t="s">
        <v>150</v>
      </c>
      <c r="C30">
        <v>3</v>
      </c>
      <c r="D30" t="s">
        <v>151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2C9F-3F61-4D2E-BA45-BEC1A7CD70BF}">
  <dimension ref="A1:K19"/>
  <sheetViews>
    <sheetView zoomScale="73" zoomScaleNormal="73" workbookViewId="0">
      <selection activeCell="D13" sqref="D13"/>
    </sheetView>
  </sheetViews>
  <sheetFormatPr defaultColWidth="8.81640625" defaultRowHeight="14.5" x14ac:dyDescent="0.35"/>
  <cols>
    <col min="1" max="1" width="5.7265625" bestFit="1" customWidth="1"/>
    <col min="2" max="2" width="21.7265625" customWidth="1"/>
    <col min="3" max="3" width="21" customWidth="1"/>
    <col min="4" max="4" width="48.6328125" customWidth="1"/>
    <col min="5" max="5" width="21.36328125" customWidth="1"/>
    <col min="6" max="6" width="46.36328125" bestFit="1" customWidth="1"/>
    <col min="7" max="7" width="14.6328125" customWidth="1"/>
    <col min="8" max="8" width="18.6328125" customWidth="1"/>
    <col min="9" max="9" width="18.26953125" customWidth="1"/>
    <col min="11" max="11" width="10.36328125" bestFit="1" customWidth="1"/>
  </cols>
  <sheetData>
    <row r="1" spans="1:11" x14ac:dyDescent="0.35">
      <c r="A1" s="20" t="s">
        <v>105</v>
      </c>
      <c r="B1" s="20" t="s">
        <v>106</v>
      </c>
      <c r="C1" s="20" t="s">
        <v>117</v>
      </c>
      <c r="D1" s="20" t="s">
        <v>116</v>
      </c>
      <c r="E1" s="20" t="s">
        <v>104</v>
      </c>
      <c r="F1" s="20" t="s">
        <v>118</v>
      </c>
      <c r="G1" s="20" t="s">
        <v>107</v>
      </c>
      <c r="H1" s="20" t="s">
        <v>109</v>
      </c>
      <c r="I1" s="20" t="s">
        <v>110</v>
      </c>
    </row>
    <row r="2" spans="1:11" x14ac:dyDescent="0.35">
      <c r="A2">
        <v>2014</v>
      </c>
      <c r="B2" s="3">
        <v>4893000000</v>
      </c>
      <c r="C2" s="3">
        <f>B2*0.4734</f>
        <v>2316346200</v>
      </c>
      <c r="D2" s="3">
        <f>C2*(1-$B$11)</f>
        <v>2109302368.3930976</v>
      </c>
      <c r="E2" s="3">
        <f>B2*0.5303</f>
        <v>2594757900</v>
      </c>
      <c r="F2" s="3">
        <f t="shared" ref="F2:F7" si="0">E2*(1-$B$11)</f>
        <v>2362828571.9452043</v>
      </c>
      <c r="G2" s="3">
        <v>2805</v>
      </c>
      <c r="H2" s="28">
        <f>D2/G2</f>
        <v>751979.45397258387</v>
      </c>
      <c r="I2" s="28">
        <f>F2/G2</f>
        <v>842363.12725319224</v>
      </c>
    </row>
    <row r="3" spans="1:11" x14ac:dyDescent="0.35">
      <c r="A3">
        <v>2015</v>
      </c>
      <c r="B3" s="3">
        <v>4589000000</v>
      </c>
      <c r="C3" s="3">
        <f>B3*0.4734</f>
        <v>2172432600</v>
      </c>
      <c r="D3" s="3">
        <f>C3*(1-$B$11)</f>
        <v>1978252313.213964</v>
      </c>
      <c r="E3" s="3">
        <f t="shared" ref="E3:E7" si="1">B3*0.5303</f>
        <v>2433546700</v>
      </c>
      <c r="F3" s="3">
        <f t="shared" si="0"/>
        <v>2216027042.030767</v>
      </c>
      <c r="G3" s="3">
        <v>2805</v>
      </c>
      <c r="H3" s="28">
        <f t="shared" ref="H3:H7" si="2">D3/G3</f>
        <v>705259.29169838293</v>
      </c>
      <c r="I3" s="28">
        <f t="shared" ref="I3:I7" si="3">F3/G3</f>
        <v>790027.4659646228</v>
      </c>
    </row>
    <row r="4" spans="1:11" x14ac:dyDescent="0.35">
      <c r="A4">
        <v>2016</v>
      </c>
      <c r="B4" s="3">
        <v>6737000000</v>
      </c>
      <c r="C4" s="3">
        <f>B4*0.4734</f>
        <v>3189295800</v>
      </c>
      <c r="D4" s="3">
        <f>C4*(1-$B$11)</f>
        <v>2904224413.6244226</v>
      </c>
      <c r="E4" s="3">
        <f t="shared" si="1"/>
        <v>3572631100</v>
      </c>
      <c r="F4" s="3">
        <f t="shared" si="0"/>
        <v>3253295746.8209362</v>
      </c>
      <c r="G4" s="3">
        <v>4500</v>
      </c>
      <c r="H4" s="28">
        <f t="shared" si="2"/>
        <v>645383.20302764943</v>
      </c>
      <c r="I4" s="28">
        <f t="shared" si="3"/>
        <v>722954.61040465254</v>
      </c>
    </row>
    <row r="5" spans="1:11" x14ac:dyDescent="0.35">
      <c r="A5">
        <v>2017</v>
      </c>
      <c r="B5" s="3">
        <v>11955000000</v>
      </c>
      <c r="C5" s="3">
        <f>B5*0.4734</f>
        <v>5659497000</v>
      </c>
      <c r="D5" s="3">
        <f>C5*(1-$B$11)</f>
        <v>5153629637.0610018</v>
      </c>
      <c r="E5" s="3">
        <f t="shared" si="1"/>
        <v>6339736500</v>
      </c>
      <c r="F5" s="3">
        <f t="shared" si="0"/>
        <v>5773066743.8391409</v>
      </c>
      <c r="G5" s="37">
        <v>6500</v>
      </c>
      <c r="H5" s="28">
        <f t="shared" si="2"/>
        <v>792866.09800938494</v>
      </c>
      <c r="I5" s="28">
        <f t="shared" si="3"/>
        <v>888164.11443679093</v>
      </c>
    </row>
    <row r="6" spans="1:11" x14ac:dyDescent="0.35">
      <c r="A6">
        <v>2018</v>
      </c>
      <c r="B6" s="3">
        <v>13427000000</v>
      </c>
      <c r="C6" s="3">
        <f>B6*0.4734</f>
        <v>6356341800</v>
      </c>
      <c r="D6" s="3">
        <f>C6*(1-$B$11)</f>
        <v>5788187798.9810181</v>
      </c>
      <c r="E6" s="3">
        <f t="shared" si="1"/>
        <v>7120338100</v>
      </c>
      <c r="F6" s="3">
        <f t="shared" si="0"/>
        <v>6483895204.4774694</v>
      </c>
      <c r="G6" s="3">
        <v>6805</v>
      </c>
      <c r="H6" s="28">
        <f t="shared" si="2"/>
        <v>850578.66259823926</v>
      </c>
      <c r="I6" s="28">
        <f t="shared" si="3"/>
        <v>952813.40256832761</v>
      </c>
    </row>
    <row r="7" spans="1:11" x14ac:dyDescent="0.35">
      <c r="A7">
        <v>2019</v>
      </c>
      <c r="B7" s="3">
        <v>16861000000</v>
      </c>
      <c r="C7" s="3">
        <f>B7*0.4734</f>
        <v>7981997400</v>
      </c>
      <c r="D7" s="3">
        <f>C7*(1-$B$11)</f>
        <v>7268536119.655839</v>
      </c>
      <c r="E7" s="3">
        <f t="shared" si="1"/>
        <v>8941388300</v>
      </c>
      <c r="F7" s="3">
        <f t="shared" si="0"/>
        <v>8142173012.7872658</v>
      </c>
      <c r="G7" s="3">
        <v>6486.55</v>
      </c>
      <c r="H7" s="28">
        <f t="shared" si="2"/>
        <v>1120555.0130124395</v>
      </c>
      <c r="I7" s="28">
        <f t="shared" si="3"/>
        <v>1255239.3819190888</v>
      </c>
    </row>
    <row r="8" spans="1:11" x14ac:dyDescent="0.35">
      <c r="B8" s="6" t="s">
        <v>6</v>
      </c>
      <c r="C8" s="30">
        <f>SUM(C2:C7)</f>
        <v>27675910800</v>
      </c>
      <c r="D8" s="30">
        <f>SUM(D2:D7)</f>
        <v>25202132650.92934</v>
      </c>
      <c r="E8" s="31">
        <f>SUM(E2:E7)</f>
        <v>31002398600</v>
      </c>
      <c r="F8" s="31">
        <f>SUM(F2:F7)</f>
        <v>28231286321.900784</v>
      </c>
      <c r="H8" s="29">
        <f>SUM(H2:H7)</f>
        <v>4866621.7223186791</v>
      </c>
      <c r="I8" s="32">
        <f>SUM(I2:I7)</f>
        <v>5451562.1025466751</v>
      </c>
      <c r="K8" s="39"/>
    </row>
    <row r="9" spans="1:11" x14ac:dyDescent="0.35">
      <c r="C9" s="5"/>
      <c r="D9" s="5"/>
      <c r="E9" s="4"/>
      <c r="F9" s="4"/>
    </row>
    <row r="10" spans="1:11" ht="29" x14ac:dyDescent="0.35">
      <c r="B10" s="47" t="s">
        <v>119</v>
      </c>
    </row>
    <row r="11" spans="1:11" x14ac:dyDescent="0.35">
      <c r="B11" s="44">
        <f>(2215+25855)/314039</f>
        <v>8.9383802648715607E-2</v>
      </c>
    </row>
    <row r="17" spans="10:10" x14ac:dyDescent="0.35">
      <c r="J17" s="41"/>
    </row>
    <row r="19" spans="10:10" x14ac:dyDescent="0.35">
      <c r="J19" s="4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FE3D-E6B9-4153-9A36-63E4CB59C793}">
  <dimension ref="B3:C25"/>
  <sheetViews>
    <sheetView showGridLines="0" workbookViewId="0"/>
  </sheetViews>
  <sheetFormatPr defaultColWidth="9.1796875" defaultRowHeight="12.5" x14ac:dyDescent="0.25"/>
  <cols>
    <col min="1" max="1" width="9.1796875" style="8"/>
    <col min="2" max="2" width="25.6328125" style="8" customWidth="1"/>
    <col min="3" max="3" width="70.6328125" style="8" customWidth="1"/>
    <col min="4" max="16384" width="9.1796875" style="8"/>
  </cols>
  <sheetData>
    <row r="3" spans="2:3" ht="13" x14ac:dyDescent="0.25">
      <c r="B3" s="7" t="s">
        <v>7</v>
      </c>
    </row>
    <row r="4" spans="2:3" x14ac:dyDescent="0.25">
      <c r="B4" s="9" t="s">
        <v>8</v>
      </c>
    </row>
    <row r="5" spans="2:3" x14ac:dyDescent="0.25">
      <c r="B5" s="10" t="s">
        <v>9</v>
      </c>
    </row>
    <row r="8" spans="2:3" ht="13" x14ac:dyDescent="0.25">
      <c r="B8" s="7" t="s">
        <v>10</v>
      </c>
    </row>
    <row r="10" spans="2:3" x14ac:dyDescent="0.25">
      <c r="B10" s="9" t="s">
        <v>10</v>
      </c>
      <c r="C10" s="9" t="s">
        <v>11</v>
      </c>
    </row>
    <row r="11" spans="2:3" x14ac:dyDescent="0.25">
      <c r="B11" s="9" t="s">
        <v>12</v>
      </c>
      <c r="C11" s="9" t="s">
        <v>11</v>
      </c>
    </row>
    <row r="12" spans="2:3" x14ac:dyDescent="0.25">
      <c r="B12" s="9" t="s">
        <v>13</v>
      </c>
      <c r="C12" s="9" t="s">
        <v>14</v>
      </c>
    </row>
    <row r="13" spans="2:3" x14ac:dyDescent="0.25">
      <c r="B13" s="9" t="s">
        <v>15</v>
      </c>
      <c r="C13" s="9" t="s">
        <v>16</v>
      </c>
    </row>
    <row r="14" spans="2:3" ht="13" x14ac:dyDescent="0.25">
      <c r="B14" s="9" t="s">
        <v>17</v>
      </c>
      <c r="C14" s="11" t="s">
        <v>18</v>
      </c>
    </row>
    <row r="15" spans="2:3" ht="13" x14ac:dyDescent="0.25">
      <c r="B15" s="9" t="s">
        <v>19</v>
      </c>
      <c r="C15" s="11" t="s">
        <v>18</v>
      </c>
    </row>
    <row r="16" spans="2:3" ht="13" x14ac:dyDescent="0.25">
      <c r="B16" s="9" t="s">
        <v>20</v>
      </c>
      <c r="C16" s="11" t="s">
        <v>18</v>
      </c>
    </row>
    <row r="17" spans="2:3" ht="13" x14ac:dyDescent="0.25">
      <c r="B17" s="9" t="s">
        <v>21</v>
      </c>
      <c r="C17" s="11" t="s">
        <v>18</v>
      </c>
    </row>
    <row r="18" spans="2:3" ht="50" x14ac:dyDescent="0.25">
      <c r="B18" s="12" t="s">
        <v>22</v>
      </c>
      <c r="C18" s="12" t="s">
        <v>23</v>
      </c>
    </row>
    <row r="20" spans="2:3" ht="13" x14ac:dyDescent="0.25">
      <c r="B20" s="7" t="s">
        <v>24</v>
      </c>
    </row>
    <row r="22" spans="2:3" x14ac:dyDescent="0.25">
      <c r="B22" s="9" t="s">
        <v>25</v>
      </c>
      <c r="C22" s="9" t="s">
        <v>11</v>
      </c>
    </row>
    <row r="23" spans="2:3" x14ac:dyDescent="0.25">
      <c r="B23" s="9" t="s">
        <v>26</v>
      </c>
      <c r="C23" s="9" t="s">
        <v>27</v>
      </c>
    </row>
    <row r="24" spans="2:3" x14ac:dyDescent="0.25">
      <c r="B24" s="9" t="s">
        <v>28</v>
      </c>
      <c r="C24" s="9" t="s">
        <v>29</v>
      </c>
    </row>
    <row r="25" spans="2:3" x14ac:dyDescent="0.25">
      <c r="B25" s="9" t="s">
        <v>30</v>
      </c>
      <c r="C25" s="10" t="s">
        <v>31</v>
      </c>
    </row>
  </sheetData>
  <hyperlinks>
    <hyperlink ref="B5" location="Data!A1" display="Access data" xr:uid="{4068AFB6-FB72-4F5E-B427-1249C9F54009}"/>
    <hyperlink ref="C25" r:id="rId1" xr:uid="{6A64A7E0-C4B3-4E83-A965-1C174C47D431}"/>
  </hyperlink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25CF-3C11-44C6-B9D4-9D8ACA3D60ED}">
  <dimension ref="B3:Q61"/>
  <sheetViews>
    <sheetView topLeftCell="G31" workbookViewId="0">
      <selection activeCell="P50" sqref="P50"/>
    </sheetView>
  </sheetViews>
  <sheetFormatPr defaultColWidth="9.1796875" defaultRowHeight="12.5" x14ac:dyDescent="0.25"/>
  <cols>
    <col min="1" max="1" width="9.1796875" style="8"/>
    <col min="2" max="2" width="100.6328125" style="8" customWidth="1"/>
    <col min="3" max="4" width="8" style="8" customWidth="1"/>
    <col min="5" max="5" width="20.1796875" style="8" customWidth="1"/>
    <col min="6" max="6" width="25.453125" style="8" customWidth="1"/>
    <col min="7" max="11" width="7.453125" style="8" customWidth="1"/>
    <col min="12" max="12" width="6.6328125" style="8" customWidth="1"/>
    <col min="13" max="13" width="6.81640625" style="8" customWidth="1"/>
    <col min="14" max="16" width="37.453125" style="8" customWidth="1"/>
    <col min="17" max="17" width="7.453125" style="8" customWidth="1"/>
    <col min="18" max="16384" width="9.1796875" style="8"/>
  </cols>
  <sheetData>
    <row r="3" spans="2:17" ht="13" x14ac:dyDescent="0.25">
      <c r="B3" s="13" t="s">
        <v>32</v>
      </c>
    </row>
    <row r="4" spans="2:17" x14ac:dyDescent="0.25">
      <c r="B4" s="12" t="s">
        <v>8</v>
      </c>
    </row>
    <row r="5" spans="2:17" x14ac:dyDescent="0.25">
      <c r="C5" s="14" t="s">
        <v>33</v>
      </c>
      <c r="D5" s="14"/>
      <c r="E5" s="14" t="s">
        <v>34</v>
      </c>
      <c r="F5" s="14" t="s">
        <v>35</v>
      </c>
      <c r="G5" s="14" t="s">
        <v>36</v>
      </c>
      <c r="H5" s="14" t="s">
        <v>37</v>
      </c>
      <c r="I5" s="14" t="s">
        <v>38</v>
      </c>
      <c r="J5" s="14" t="s">
        <v>39</v>
      </c>
      <c r="K5" s="14" t="s">
        <v>40</v>
      </c>
      <c r="L5" s="14" t="s">
        <v>41</v>
      </c>
      <c r="M5" s="14" t="s">
        <v>42</v>
      </c>
      <c r="N5" s="14" t="s">
        <v>43</v>
      </c>
      <c r="O5" s="14"/>
      <c r="P5" s="14"/>
      <c r="Q5" s="14" t="s">
        <v>44</v>
      </c>
    </row>
    <row r="6" spans="2:17" x14ac:dyDescent="0.25">
      <c r="B6" s="9" t="s">
        <v>45</v>
      </c>
      <c r="C6" s="15">
        <v>1117</v>
      </c>
      <c r="D6" s="15"/>
      <c r="E6" s="14" t="s">
        <v>46</v>
      </c>
      <c r="F6" s="14" t="s">
        <v>46</v>
      </c>
      <c r="G6" s="14" t="s">
        <v>46</v>
      </c>
      <c r="H6" s="15">
        <v>2903</v>
      </c>
      <c r="I6" s="14" t="s">
        <v>46</v>
      </c>
      <c r="J6" s="14" t="s">
        <v>46</v>
      </c>
      <c r="K6" s="15">
        <v>2912</v>
      </c>
      <c r="L6" s="15">
        <v>1004</v>
      </c>
      <c r="M6" s="15">
        <v>663</v>
      </c>
      <c r="N6" s="14" t="s">
        <v>46</v>
      </c>
      <c r="O6" s="14"/>
      <c r="P6" s="14"/>
      <c r="Q6" s="15">
        <v>1354</v>
      </c>
    </row>
    <row r="7" spans="2:17" x14ac:dyDescent="0.25">
      <c r="B7" s="9" t="s">
        <v>47</v>
      </c>
      <c r="C7" s="15">
        <v>1218</v>
      </c>
      <c r="D7" s="16">
        <f>(C7-C6)/C6</f>
        <v>9.0420769919427033E-2</v>
      </c>
      <c r="E7" s="14" t="s">
        <v>46</v>
      </c>
      <c r="F7" s="14" t="s">
        <v>46</v>
      </c>
      <c r="G7" s="14" t="s">
        <v>46</v>
      </c>
      <c r="H7" s="15">
        <v>3347</v>
      </c>
      <c r="I7" s="14" t="s">
        <v>46</v>
      </c>
      <c r="J7" s="14" t="s">
        <v>46</v>
      </c>
      <c r="K7" s="15">
        <v>2800</v>
      </c>
      <c r="L7" s="15">
        <v>997</v>
      </c>
      <c r="M7" s="15">
        <v>341</v>
      </c>
      <c r="N7" s="14" t="s">
        <v>46</v>
      </c>
      <c r="O7" s="14"/>
      <c r="P7" s="14"/>
      <c r="Q7" s="15">
        <v>1086</v>
      </c>
    </row>
    <row r="8" spans="2:17" x14ac:dyDescent="0.25">
      <c r="B8" s="9" t="s">
        <v>48</v>
      </c>
      <c r="C8" s="15">
        <v>1402</v>
      </c>
      <c r="D8" s="16">
        <f t="shared" ref="D8:D48" si="0">(C8-C7)/C7</f>
        <v>0.15106732348111659</v>
      </c>
      <c r="E8" s="14" t="s">
        <v>46</v>
      </c>
      <c r="F8" s="14" t="s">
        <v>46</v>
      </c>
      <c r="G8" s="14" t="s">
        <v>46</v>
      </c>
      <c r="H8" s="15">
        <v>3316</v>
      </c>
      <c r="I8" s="14" t="s">
        <v>46</v>
      </c>
      <c r="J8" s="14" t="s">
        <v>46</v>
      </c>
      <c r="K8" s="15">
        <v>3226</v>
      </c>
      <c r="L8" s="15">
        <v>779</v>
      </c>
      <c r="M8" s="15">
        <v>593</v>
      </c>
      <c r="N8" s="14" t="s">
        <v>46</v>
      </c>
      <c r="O8" s="14"/>
      <c r="P8" s="14"/>
      <c r="Q8" s="15">
        <v>1115</v>
      </c>
    </row>
    <row r="9" spans="2:17" x14ac:dyDescent="0.25">
      <c r="B9" s="9" t="s">
        <v>49</v>
      </c>
      <c r="C9" s="15">
        <v>1489</v>
      </c>
      <c r="D9" s="16">
        <f t="shared" si="0"/>
        <v>6.2054208273894434E-2</v>
      </c>
      <c r="E9" s="14" t="s">
        <v>46</v>
      </c>
      <c r="F9" s="14" t="s">
        <v>46</v>
      </c>
      <c r="G9" s="14" t="s">
        <v>46</v>
      </c>
      <c r="H9" s="15">
        <v>4587</v>
      </c>
      <c r="I9" s="14" t="s">
        <v>46</v>
      </c>
      <c r="J9" s="14" t="s">
        <v>46</v>
      </c>
      <c r="K9" s="15">
        <v>3950</v>
      </c>
      <c r="L9" s="15">
        <v>1032</v>
      </c>
      <c r="M9" s="15">
        <v>597</v>
      </c>
      <c r="N9" s="14" t="s">
        <v>46</v>
      </c>
      <c r="O9" s="14"/>
      <c r="P9" s="14"/>
      <c r="Q9" s="15">
        <v>1321</v>
      </c>
    </row>
    <row r="10" spans="2:17" x14ac:dyDescent="0.25">
      <c r="B10" s="9" t="s">
        <v>50</v>
      </c>
      <c r="C10" s="15">
        <v>1697</v>
      </c>
      <c r="D10" s="16">
        <f t="shared" si="0"/>
        <v>0.13969106783075891</v>
      </c>
      <c r="E10" s="14" t="s">
        <v>46</v>
      </c>
      <c r="F10" s="14" t="s">
        <v>46</v>
      </c>
      <c r="G10" s="14" t="s">
        <v>46</v>
      </c>
      <c r="H10" s="15">
        <v>2857</v>
      </c>
      <c r="I10" s="14" t="s">
        <v>46</v>
      </c>
      <c r="J10" s="14" t="s">
        <v>46</v>
      </c>
      <c r="K10" s="15">
        <v>3387</v>
      </c>
      <c r="L10" s="15">
        <v>681</v>
      </c>
      <c r="M10" s="15">
        <v>685</v>
      </c>
      <c r="N10" s="14" t="s">
        <v>46</v>
      </c>
      <c r="O10" s="14"/>
      <c r="P10" s="14"/>
      <c r="Q10" s="15">
        <v>1332</v>
      </c>
    </row>
    <row r="11" spans="2:17" x14ac:dyDescent="0.25">
      <c r="B11" s="9" t="s">
        <v>51</v>
      </c>
      <c r="C11" s="15">
        <v>1725</v>
      </c>
      <c r="D11" s="16">
        <f t="shared" si="0"/>
        <v>1.6499705362404242E-2</v>
      </c>
      <c r="E11" s="14" t="s">
        <v>46</v>
      </c>
      <c r="F11" s="14" t="s">
        <v>46</v>
      </c>
      <c r="G11" s="14" t="s">
        <v>46</v>
      </c>
      <c r="H11" s="15">
        <v>3219</v>
      </c>
      <c r="I11" s="14" t="s">
        <v>46</v>
      </c>
      <c r="J11" s="14" t="s">
        <v>46</v>
      </c>
      <c r="K11" s="15">
        <v>3589</v>
      </c>
      <c r="L11" s="15">
        <v>903</v>
      </c>
      <c r="M11" s="15">
        <v>363</v>
      </c>
      <c r="N11" s="14" t="s">
        <v>46</v>
      </c>
      <c r="O11" s="14"/>
      <c r="P11" s="14"/>
      <c r="Q11" s="15">
        <v>1355</v>
      </c>
    </row>
    <row r="12" spans="2:17" x14ac:dyDescent="0.25">
      <c r="B12" s="9" t="s">
        <v>52</v>
      </c>
      <c r="C12" s="15">
        <v>1704</v>
      </c>
      <c r="D12" s="16">
        <f t="shared" si="0"/>
        <v>-1.2173913043478261E-2</v>
      </c>
      <c r="E12" s="14" t="s">
        <v>46</v>
      </c>
      <c r="F12" s="14" t="s">
        <v>46</v>
      </c>
      <c r="G12" s="14" t="s">
        <v>46</v>
      </c>
      <c r="H12" s="15">
        <v>3665</v>
      </c>
      <c r="I12" s="14" t="s">
        <v>46</v>
      </c>
      <c r="J12" s="14" t="s">
        <v>46</v>
      </c>
      <c r="K12" s="15">
        <v>3941</v>
      </c>
      <c r="L12" s="15">
        <v>789</v>
      </c>
      <c r="M12" s="15">
        <v>608</v>
      </c>
      <c r="N12" s="14" t="s">
        <v>46</v>
      </c>
      <c r="O12" s="14"/>
      <c r="P12" s="14"/>
      <c r="Q12" s="15">
        <v>1525</v>
      </c>
    </row>
    <row r="13" spans="2:17" x14ac:dyDescent="0.25">
      <c r="B13" s="9" t="s">
        <v>53</v>
      </c>
      <c r="C13" s="15">
        <v>1913</v>
      </c>
      <c r="D13" s="16">
        <f t="shared" si="0"/>
        <v>0.12265258215962441</v>
      </c>
      <c r="E13" s="14" t="s">
        <v>46</v>
      </c>
      <c r="F13" s="14" t="s">
        <v>46</v>
      </c>
      <c r="G13" s="14" t="s">
        <v>46</v>
      </c>
      <c r="H13" s="15">
        <v>5603</v>
      </c>
      <c r="I13" s="14" t="s">
        <v>46</v>
      </c>
      <c r="J13" s="14" t="s">
        <v>46</v>
      </c>
      <c r="K13" s="15">
        <v>4471</v>
      </c>
      <c r="L13" s="15">
        <v>831</v>
      </c>
      <c r="M13" s="15">
        <v>541</v>
      </c>
      <c r="N13" s="14" t="s">
        <v>46</v>
      </c>
      <c r="O13" s="14"/>
      <c r="P13" s="14"/>
      <c r="Q13" s="15">
        <v>1947</v>
      </c>
    </row>
    <row r="14" spans="2:17" x14ac:dyDescent="0.25">
      <c r="B14" s="9" t="s">
        <v>54</v>
      </c>
      <c r="C14" s="15">
        <v>1879</v>
      </c>
      <c r="D14" s="16">
        <f t="shared" si="0"/>
        <v>-1.7773131207527444E-2</v>
      </c>
      <c r="E14" s="14" t="s">
        <v>46</v>
      </c>
      <c r="F14" s="14" t="s">
        <v>46</v>
      </c>
      <c r="G14" s="14" t="s">
        <v>46</v>
      </c>
      <c r="H14" s="15">
        <v>3477</v>
      </c>
      <c r="I14" s="14" t="s">
        <v>46</v>
      </c>
      <c r="J14" s="14" t="s">
        <v>46</v>
      </c>
      <c r="K14" s="15">
        <v>3838</v>
      </c>
      <c r="L14" s="15">
        <v>775</v>
      </c>
      <c r="M14" s="15">
        <v>573</v>
      </c>
      <c r="N14" s="14" t="s">
        <v>46</v>
      </c>
      <c r="O14" s="14"/>
      <c r="P14" s="14"/>
      <c r="Q14" s="15">
        <v>1551</v>
      </c>
    </row>
    <row r="15" spans="2:17" x14ac:dyDescent="0.25">
      <c r="B15" s="9" t="s">
        <v>55</v>
      </c>
      <c r="C15" s="15">
        <v>1908</v>
      </c>
      <c r="D15" s="16">
        <f t="shared" si="0"/>
        <v>1.5433741351782864E-2</v>
      </c>
      <c r="E15" s="14" t="s">
        <v>46</v>
      </c>
      <c r="F15" s="14" t="s">
        <v>46</v>
      </c>
      <c r="G15" s="14" t="s">
        <v>46</v>
      </c>
      <c r="H15" s="15">
        <v>4008</v>
      </c>
      <c r="I15" s="14" t="s">
        <v>46</v>
      </c>
      <c r="J15" s="14" t="s">
        <v>46</v>
      </c>
      <c r="K15" s="15">
        <v>3922</v>
      </c>
      <c r="L15" s="15">
        <v>941</v>
      </c>
      <c r="M15" s="15">
        <v>845</v>
      </c>
      <c r="N15" s="14" t="s">
        <v>46</v>
      </c>
      <c r="O15" s="14"/>
      <c r="P15" s="14"/>
      <c r="Q15" s="15">
        <v>1605</v>
      </c>
    </row>
    <row r="16" spans="2:17" x14ac:dyDescent="0.25">
      <c r="B16" s="9" t="s">
        <v>56</v>
      </c>
      <c r="C16" s="15">
        <v>1929</v>
      </c>
      <c r="D16" s="16">
        <f t="shared" si="0"/>
        <v>1.10062893081761E-2</v>
      </c>
      <c r="E16" s="14" t="s">
        <v>46</v>
      </c>
      <c r="F16" s="14" t="s">
        <v>46</v>
      </c>
      <c r="G16" s="14" t="s">
        <v>46</v>
      </c>
      <c r="H16" s="15">
        <v>3789</v>
      </c>
      <c r="I16" s="14" t="s">
        <v>46</v>
      </c>
      <c r="J16" s="14" t="s">
        <v>46</v>
      </c>
      <c r="K16" s="15">
        <v>3792</v>
      </c>
      <c r="L16" s="15">
        <v>764</v>
      </c>
      <c r="M16" s="15">
        <v>598</v>
      </c>
      <c r="N16" s="14" t="s">
        <v>46</v>
      </c>
      <c r="O16" s="14"/>
      <c r="P16" s="14"/>
      <c r="Q16" s="15">
        <v>1854</v>
      </c>
    </row>
    <row r="17" spans="2:17" x14ac:dyDescent="0.25">
      <c r="B17" s="9" t="s">
        <v>57</v>
      </c>
      <c r="C17" s="15">
        <v>2098</v>
      </c>
      <c r="D17" s="16">
        <f t="shared" si="0"/>
        <v>8.7610160705028514E-2</v>
      </c>
      <c r="E17" s="14" t="s">
        <v>46</v>
      </c>
      <c r="F17" s="14" t="s">
        <v>46</v>
      </c>
      <c r="G17" s="14" t="s">
        <v>46</v>
      </c>
      <c r="H17" s="15">
        <v>5180</v>
      </c>
      <c r="I17" s="15">
        <v>319</v>
      </c>
      <c r="J17" s="14" t="s">
        <v>46</v>
      </c>
      <c r="K17" s="15">
        <v>3747</v>
      </c>
      <c r="L17" s="15">
        <v>733</v>
      </c>
      <c r="M17" s="15">
        <v>476</v>
      </c>
      <c r="N17" s="14" t="s">
        <v>46</v>
      </c>
      <c r="O17" s="14"/>
      <c r="P17" s="14"/>
      <c r="Q17" s="15">
        <v>1641</v>
      </c>
    </row>
    <row r="18" spans="2:17" x14ac:dyDescent="0.25">
      <c r="B18" s="9" t="s">
        <v>58</v>
      </c>
      <c r="C18" s="15">
        <v>1842</v>
      </c>
      <c r="D18" s="16">
        <f t="shared" si="0"/>
        <v>-0.12202097235462345</v>
      </c>
      <c r="E18" s="14" t="s">
        <v>46</v>
      </c>
      <c r="F18" s="14" t="s">
        <v>46</v>
      </c>
      <c r="G18" s="14" t="s">
        <v>46</v>
      </c>
      <c r="H18" s="15">
        <v>3224</v>
      </c>
      <c r="I18" s="15">
        <v>334</v>
      </c>
      <c r="J18" s="14" t="s">
        <v>46</v>
      </c>
      <c r="K18" s="15">
        <v>3460</v>
      </c>
      <c r="L18" s="15">
        <v>716</v>
      </c>
      <c r="M18" s="15">
        <v>614</v>
      </c>
      <c r="N18" s="14" t="s">
        <v>46</v>
      </c>
      <c r="O18" s="14"/>
      <c r="P18" s="14"/>
      <c r="Q18" s="15">
        <v>1627</v>
      </c>
    </row>
    <row r="19" spans="2:17" x14ac:dyDescent="0.25">
      <c r="B19" s="9" t="s">
        <v>59</v>
      </c>
      <c r="C19" s="15">
        <v>2020</v>
      </c>
      <c r="D19" s="16">
        <f t="shared" si="0"/>
        <v>9.6634093376764388E-2</v>
      </c>
      <c r="E19" s="14" t="s">
        <v>46</v>
      </c>
      <c r="F19" s="14" t="s">
        <v>46</v>
      </c>
      <c r="G19" s="14" t="s">
        <v>46</v>
      </c>
      <c r="H19" s="15">
        <v>3680</v>
      </c>
      <c r="I19" s="15">
        <v>376</v>
      </c>
      <c r="J19" s="14" t="s">
        <v>46</v>
      </c>
      <c r="K19" s="15">
        <v>3724</v>
      </c>
      <c r="L19" s="15">
        <v>753</v>
      </c>
      <c r="M19" s="15">
        <v>489</v>
      </c>
      <c r="N19" s="14" t="s">
        <v>46</v>
      </c>
      <c r="O19" s="14"/>
      <c r="P19" s="14"/>
      <c r="Q19" s="15">
        <v>1599</v>
      </c>
    </row>
    <row r="20" spans="2:17" x14ac:dyDescent="0.25">
      <c r="B20" s="9" t="s">
        <v>60</v>
      </c>
      <c r="C20" s="15">
        <v>2086</v>
      </c>
      <c r="D20" s="16">
        <f t="shared" si="0"/>
        <v>3.2673267326732675E-2</v>
      </c>
      <c r="E20" s="14" t="s">
        <v>46</v>
      </c>
      <c r="F20" s="14" t="s">
        <v>46</v>
      </c>
      <c r="G20" s="14" t="s">
        <v>46</v>
      </c>
      <c r="H20" s="15">
        <v>3502</v>
      </c>
      <c r="I20" s="15">
        <v>419</v>
      </c>
      <c r="J20" s="14" t="s">
        <v>46</v>
      </c>
      <c r="K20" s="15">
        <v>3339</v>
      </c>
      <c r="L20" s="15">
        <v>588</v>
      </c>
      <c r="M20" s="15">
        <v>465</v>
      </c>
      <c r="N20" s="14" t="s">
        <v>46</v>
      </c>
      <c r="O20" s="14"/>
      <c r="P20" s="14"/>
      <c r="Q20" s="15">
        <v>1620</v>
      </c>
    </row>
    <row r="21" spans="2:17" x14ac:dyDescent="0.25">
      <c r="B21" s="9" t="s">
        <v>61</v>
      </c>
      <c r="C21" s="15">
        <v>2109</v>
      </c>
      <c r="D21" s="16">
        <f t="shared" si="0"/>
        <v>1.1025886864813039E-2</v>
      </c>
      <c r="E21" s="14" t="s">
        <v>46</v>
      </c>
      <c r="F21" s="14" t="s">
        <v>46</v>
      </c>
      <c r="G21" s="14" t="s">
        <v>46</v>
      </c>
      <c r="H21" s="15">
        <v>5344</v>
      </c>
      <c r="I21" s="15">
        <v>480</v>
      </c>
      <c r="J21" s="14" t="s">
        <v>46</v>
      </c>
      <c r="K21" s="15">
        <v>3626</v>
      </c>
      <c r="L21" s="15">
        <v>602</v>
      </c>
      <c r="M21" s="15">
        <v>501</v>
      </c>
      <c r="N21" s="14" t="s">
        <v>46</v>
      </c>
      <c r="O21" s="14"/>
      <c r="P21" s="14"/>
      <c r="Q21" s="15">
        <v>1869</v>
      </c>
    </row>
    <row r="22" spans="2:17" x14ac:dyDescent="0.25">
      <c r="B22" s="9" t="s">
        <v>62</v>
      </c>
      <c r="C22" s="15">
        <v>2028</v>
      </c>
      <c r="D22" s="16">
        <f t="shared" si="0"/>
        <v>-3.8406827880512091E-2</v>
      </c>
      <c r="E22" s="14" t="s">
        <v>46</v>
      </c>
      <c r="F22" s="14" t="s">
        <v>46</v>
      </c>
      <c r="G22" s="14" t="s">
        <v>46</v>
      </c>
      <c r="H22" s="15">
        <v>2793</v>
      </c>
      <c r="I22" s="15">
        <v>450</v>
      </c>
      <c r="J22" s="14" t="s">
        <v>46</v>
      </c>
      <c r="K22" s="15">
        <v>2947</v>
      </c>
      <c r="L22" s="15">
        <v>528</v>
      </c>
      <c r="M22" s="15">
        <v>562</v>
      </c>
      <c r="N22" s="15">
        <v>455</v>
      </c>
      <c r="O22" s="15"/>
      <c r="P22" s="15"/>
      <c r="Q22" s="15">
        <v>1377</v>
      </c>
    </row>
    <row r="23" spans="2:17" x14ac:dyDescent="0.25">
      <c r="B23" s="9" t="s">
        <v>63</v>
      </c>
      <c r="C23" s="15">
        <v>2227</v>
      </c>
      <c r="D23" s="16">
        <f t="shared" si="0"/>
        <v>9.8126232741617359E-2</v>
      </c>
      <c r="E23" s="14" t="s">
        <v>46</v>
      </c>
      <c r="F23" s="14" t="s">
        <v>46</v>
      </c>
      <c r="G23" s="14" t="s">
        <v>46</v>
      </c>
      <c r="H23" s="15">
        <v>3311</v>
      </c>
      <c r="I23" s="15">
        <v>537</v>
      </c>
      <c r="J23" s="14" t="s">
        <v>46</v>
      </c>
      <c r="K23" s="15">
        <v>3071</v>
      </c>
      <c r="L23" s="15">
        <v>709</v>
      </c>
      <c r="M23" s="14" t="s">
        <v>46</v>
      </c>
      <c r="N23" s="15">
        <v>669</v>
      </c>
      <c r="O23" s="17">
        <f>(N23-N22)/N22</f>
        <v>0.47032967032967032</v>
      </c>
      <c r="P23" s="15"/>
      <c r="Q23" s="15">
        <v>1736</v>
      </c>
    </row>
    <row r="24" spans="2:17" x14ac:dyDescent="0.25">
      <c r="B24" s="9" t="s">
        <v>64</v>
      </c>
      <c r="C24" s="15">
        <v>2070</v>
      </c>
      <c r="D24" s="16">
        <f t="shared" si="0"/>
        <v>-7.0498428378985178E-2</v>
      </c>
      <c r="E24" s="14" t="s">
        <v>46</v>
      </c>
      <c r="F24" s="14" t="s">
        <v>46</v>
      </c>
      <c r="G24" s="14" t="s">
        <v>46</v>
      </c>
      <c r="H24" s="15">
        <v>2822</v>
      </c>
      <c r="I24" s="15">
        <v>599</v>
      </c>
      <c r="J24" s="14" t="s">
        <v>46</v>
      </c>
      <c r="K24" s="15">
        <v>3390</v>
      </c>
      <c r="L24" s="15">
        <v>503</v>
      </c>
      <c r="M24" s="14" t="s">
        <v>46</v>
      </c>
      <c r="N24" s="15">
        <v>784</v>
      </c>
      <c r="O24" s="17">
        <f t="shared" ref="O24:O48" si="1">(N24-N23)/N23</f>
        <v>0.17189835575485798</v>
      </c>
      <c r="P24" s="15"/>
      <c r="Q24" s="15">
        <v>1983</v>
      </c>
    </row>
    <row r="25" spans="2:17" x14ac:dyDescent="0.25">
      <c r="B25" s="9" t="s">
        <v>65</v>
      </c>
      <c r="C25" s="18">
        <v>2172.3000000000002</v>
      </c>
      <c r="D25" s="16">
        <f t="shared" si="0"/>
        <v>4.9420289855072554E-2</v>
      </c>
      <c r="E25" s="14" t="s">
        <v>46</v>
      </c>
      <c r="F25" s="14" t="s">
        <v>46</v>
      </c>
      <c r="G25" s="18">
        <v>130.4</v>
      </c>
      <c r="H25" s="18">
        <v>3820.2</v>
      </c>
      <c r="I25" s="18">
        <v>646.1</v>
      </c>
      <c r="J25" s="14" t="s">
        <v>46</v>
      </c>
      <c r="K25" s="18">
        <v>3831.8</v>
      </c>
      <c r="L25" s="15">
        <v>589</v>
      </c>
      <c r="M25" s="14" t="s">
        <v>46</v>
      </c>
      <c r="N25" s="18">
        <v>907.3</v>
      </c>
      <c r="O25" s="17">
        <f t="shared" si="1"/>
        <v>0.15727040816326524</v>
      </c>
      <c r="P25" s="18"/>
      <c r="Q25" s="18">
        <v>2567.5</v>
      </c>
    </row>
    <row r="26" spans="2:17" x14ac:dyDescent="0.25">
      <c r="B26" s="9" t="s">
        <v>66</v>
      </c>
      <c r="C26" s="18">
        <v>2049.5</v>
      </c>
      <c r="D26" s="16">
        <f t="shared" si="0"/>
        <v>-5.652994521935284E-2</v>
      </c>
      <c r="E26" s="14" t="s">
        <v>46</v>
      </c>
      <c r="F26" s="14" t="s">
        <v>46</v>
      </c>
      <c r="G26" s="18">
        <v>117.5</v>
      </c>
      <c r="H26" s="15">
        <v>2084</v>
      </c>
      <c r="I26" s="18">
        <v>616.6</v>
      </c>
      <c r="J26" s="14" t="s">
        <v>46</v>
      </c>
      <c r="K26" s="18">
        <v>2889.7</v>
      </c>
      <c r="L26" s="15">
        <v>538</v>
      </c>
      <c r="M26" s="15">
        <v>549</v>
      </c>
      <c r="N26" s="18">
        <v>798.9</v>
      </c>
      <c r="O26" s="17">
        <f>(N26-N25)/N25</f>
        <v>-0.11947536647194973</v>
      </c>
      <c r="P26" s="18"/>
      <c r="Q26" s="18">
        <v>1302.8</v>
      </c>
    </row>
    <row r="27" spans="2:17" x14ac:dyDescent="0.25">
      <c r="B27" s="9" t="s">
        <v>67</v>
      </c>
      <c r="C27" s="18">
        <v>2233.4</v>
      </c>
      <c r="D27" s="16">
        <f t="shared" si="0"/>
        <v>8.9729202244449913E-2</v>
      </c>
      <c r="E27" s="14" t="s">
        <v>46</v>
      </c>
      <c r="F27" s="14" t="s">
        <v>46</v>
      </c>
      <c r="G27" s="14" t="s">
        <v>46</v>
      </c>
      <c r="H27" s="15">
        <v>2972</v>
      </c>
      <c r="I27" s="18">
        <v>726.7</v>
      </c>
      <c r="J27" s="14" t="s">
        <v>46</v>
      </c>
      <c r="K27" s="18">
        <v>3181.7</v>
      </c>
      <c r="L27" s="15">
        <v>737</v>
      </c>
      <c r="M27" s="14" t="s">
        <v>46</v>
      </c>
      <c r="N27" s="18">
        <v>834.9</v>
      </c>
      <c r="O27" s="17">
        <f t="shared" si="1"/>
        <v>4.5061960195268494E-2</v>
      </c>
      <c r="P27" s="18"/>
      <c r="Q27" s="18">
        <v>2010.3</v>
      </c>
    </row>
    <row r="28" spans="2:17" x14ac:dyDescent="0.25">
      <c r="B28" s="9" t="s">
        <v>68</v>
      </c>
      <c r="C28" s="18">
        <v>2265.9</v>
      </c>
      <c r="D28" s="16">
        <f t="shared" si="0"/>
        <v>1.4551804423748545E-2</v>
      </c>
      <c r="E28" s="14" t="s">
        <v>46</v>
      </c>
      <c r="F28" s="14" t="s">
        <v>46</v>
      </c>
      <c r="G28" s="14" t="s">
        <v>46</v>
      </c>
      <c r="H28" s="18">
        <v>2323.6999999999998</v>
      </c>
      <c r="I28" s="18">
        <v>785.7</v>
      </c>
      <c r="J28" s="14" t="s">
        <v>46</v>
      </c>
      <c r="K28" s="18">
        <v>3378.4</v>
      </c>
      <c r="L28" s="15">
        <v>520</v>
      </c>
      <c r="M28" s="14" t="s">
        <v>46</v>
      </c>
      <c r="N28" s="18">
        <v>1129.5</v>
      </c>
      <c r="O28" s="17">
        <f t="shared" si="1"/>
        <v>0.35285662953647146</v>
      </c>
      <c r="P28" s="18"/>
      <c r="Q28" s="18">
        <v>2186.3000000000002</v>
      </c>
    </row>
    <row r="29" spans="2:17" x14ac:dyDescent="0.25">
      <c r="B29" s="9" t="s">
        <v>69</v>
      </c>
      <c r="C29" s="18">
        <v>2431.1999999999998</v>
      </c>
      <c r="D29" s="16">
        <f t="shared" si="0"/>
        <v>7.2951145240301746E-2</v>
      </c>
      <c r="E29" s="14" t="s">
        <v>46</v>
      </c>
      <c r="F29" s="14" t="s">
        <v>46</v>
      </c>
      <c r="G29" s="18">
        <v>1105.9000000000001</v>
      </c>
      <c r="H29" s="18">
        <v>1986.4</v>
      </c>
      <c r="I29" s="18">
        <v>769.5</v>
      </c>
      <c r="J29" s="14" t="s">
        <v>46</v>
      </c>
      <c r="K29" s="18">
        <v>3894.5</v>
      </c>
      <c r="L29" s="14" t="s">
        <v>46</v>
      </c>
      <c r="M29" s="14" t="s">
        <v>46</v>
      </c>
      <c r="N29" s="18">
        <v>1192.0999999999999</v>
      </c>
      <c r="O29" s="17">
        <f t="shared" si="1"/>
        <v>5.5422753430721478E-2</v>
      </c>
      <c r="P29" s="18"/>
      <c r="Q29" s="18">
        <v>3156.5</v>
      </c>
    </row>
    <row r="30" spans="2:17" x14ac:dyDescent="0.25">
      <c r="B30" s="9" t="s">
        <v>70</v>
      </c>
      <c r="C30" s="18">
        <v>2308.3000000000002</v>
      </c>
      <c r="D30" s="16">
        <f t="shared" si="0"/>
        <v>-5.0551168147416767E-2</v>
      </c>
      <c r="E30" s="14" t="s">
        <v>46</v>
      </c>
      <c r="F30" s="14" t="s">
        <v>46</v>
      </c>
      <c r="G30" s="18">
        <v>953.6</v>
      </c>
      <c r="H30" s="18">
        <v>1697.3</v>
      </c>
      <c r="I30" s="18">
        <v>890.3</v>
      </c>
      <c r="J30" s="14" t="s">
        <v>46</v>
      </c>
      <c r="K30" s="18">
        <v>3196.2</v>
      </c>
      <c r="L30" s="14" t="s">
        <v>46</v>
      </c>
      <c r="M30" s="14" t="s">
        <v>46</v>
      </c>
      <c r="N30" s="15">
        <v>971</v>
      </c>
      <c r="O30" s="17">
        <f t="shared" si="1"/>
        <v>-0.18547101753208617</v>
      </c>
      <c r="P30" s="15"/>
      <c r="Q30" s="18">
        <v>2826.7</v>
      </c>
    </row>
    <row r="31" spans="2:17" x14ac:dyDescent="0.25">
      <c r="B31" s="9" t="s">
        <v>71</v>
      </c>
      <c r="C31" s="18">
        <v>2358.6999999999998</v>
      </c>
      <c r="D31" s="16">
        <f t="shared" si="0"/>
        <v>2.18342503140838E-2</v>
      </c>
      <c r="E31" s="14" t="s">
        <v>46</v>
      </c>
      <c r="F31" s="14" t="s">
        <v>46</v>
      </c>
      <c r="G31" s="18">
        <v>949.2</v>
      </c>
      <c r="H31" s="18">
        <v>1994.4</v>
      </c>
      <c r="I31" s="18">
        <v>866.7</v>
      </c>
      <c r="J31" s="14" t="s">
        <v>46</v>
      </c>
      <c r="K31" s="18">
        <v>3426.7</v>
      </c>
      <c r="L31" s="14" t="s">
        <v>46</v>
      </c>
      <c r="M31" s="14" t="s">
        <v>46</v>
      </c>
      <c r="N31" s="18">
        <v>942.6</v>
      </c>
      <c r="O31" s="17">
        <f t="shared" si="1"/>
        <v>-2.9248197734294518E-2</v>
      </c>
      <c r="P31" s="18"/>
      <c r="Q31" s="18">
        <v>2945.4</v>
      </c>
    </row>
    <row r="32" spans="2:17" x14ac:dyDescent="0.25">
      <c r="B32" s="9" t="s">
        <v>72</v>
      </c>
      <c r="C32" s="18">
        <v>2439.3000000000002</v>
      </c>
      <c r="D32" s="16">
        <f t="shared" si="0"/>
        <v>3.417136558273641E-2</v>
      </c>
      <c r="E32" s="14" t="s">
        <v>46</v>
      </c>
      <c r="F32" s="14" t="s">
        <v>46</v>
      </c>
      <c r="G32" s="18">
        <v>1065.8</v>
      </c>
      <c r="H32" s="18">
        <v>1287.5999999999999</v>
      </c>
      <c r="I32" s="18">
        <v>885.6</v>
      </c>
      <c r="J32" s="14" t="s">
        <v>46</v>
      </c>
      <c r="K32" s="18">
        <v>3682.2</v>
      </c>
      <c r="L32" s="14" t="s">
        <v>46</v>
      </c>
      <c r="M32" s="14" t="s">
        <v>46</v>
      </c>
      <c r="N32" s="15">
        <v>1210</v>
      </c>
      <c r="O32" s="17">
        <f t="shared" si="1"/>
        <v>0.28368342881391889</v>
      </c>
      <c r="P32" s="15"/>
      <c r="Q32" s="18">
        <v>2868.2</v>
      </c>
    </row>
    <row r="33" spans="2:17" x14ac:dyDescent="0.25">
      <c r="B33" s="9" t="s">
        <v>73</v>
      </c>
      <c r="C33" s="18">
        <v>2576.1</v>
      </c>
      <c r="D33" s="16">
        <f t="shared" si="0"/>
        <v>5.6081662772106633E-2</v>
      </c>
      <c r="E33" s="18">
        <v>3932.2</v>
      </c>
      <c r="F33" s="14" t="s">
        <v>46</v>
      </c>
      <c r="G33" s="18">
        <v>1136.2</v>
      </c>
      <c r="H33" s="18">
        <v>2162.4</v>
      </c>
      <c r="I33" s="18">
        <v>927.9</v>
      </c>
      <c r="J33" s="14" t="s">
        <v>46</v>
      </c>
      <c r="K33" s="14" t="s">
        <v>46</v>
      </c>
      <c r="L33" s="14" t="s">
        <v>46</v>
      </c>
      <c r="M33" s="14" t="s">
        <v>46</v>
      </c>
      <c r="N33" s="15">
        <v>1242</v>
      </c>
      <c r="O33" s="17">
        <f t="shared" si="1"/>
        <v>2.6446280991735537E-2</v>
      </c>
      <c r="P33" s="15"/>
      <c r="Q33" s="18">
        <v>3344.9</v>
      </c>
    </row>
    <row r="34" spans="2:17" x14ac:dyDescent="0.25">
      <c r="B34" s="9" t="s">
        <v>74</v>
      </c>
      <c r="C34" s="18">
        <v>2267.8000000000002</v>
      </c>
      <c r="D34" s="16">
        <f t="shared" si="0"/>
        <v>-0.11967703117115008</v>
      </c>
      <c r="E34" s="14" t="s">
        <v>46</v>
      </c>
      <c r="F34" s="14" t="s">
        <v>46</v>
      </c>
      <c r="G34" s="18">
        <v>871.2</v>
      </c>
      <c r="H34" s="18">
        <v>1139.5</v>
      </c>
      <c r="I34" s="18">
        <v>850.2</v>
      </c>
      <c r="J34" s="14" t="s">
        <v>46</v>
      </c>
      <c r="K34" s="18">
        <v>3306.8</v>
      </c>
      <c r="L34" s="14" t="s">
        <v>46</v>
      </c>
      <c r="M34" s="14" t="s">
        <v>46</v>
      </c>
      <c r="N34" s="18">
        <v>863.8</v>
      </c>
      <c r="O34" s="17">
        <f t="shared" si="1"/>
        <v>-0.30450885668276978</v>
      </c>
      <c r="P34" s="18"/>
      <c r="Q34" s="18">
        <v>3082.4</v>
      </c>
    </row>
    <row r="35" spans="2:17" x14ac:dyDescent="0.25">
      <c r="B35" s="9" t="s">
        <v>75</v>
      </c>
      <c r="C35" s="18">
        <v>2594.1999999999998</v>
      </c>
      <c r="D35" s="16">
        <f t="shared" si="0"/>
        <v>0.14392803598200882</v>
      </c>
      <c r="E35" s="14" t="s">
        <v>46</v>
      </c>
      <c r="F35" s="14" t="s">
        <v>46</v>
      </c>
      <c r="G35" s="18">
        <v>969.2</v>
      </c>
      <c r="H35" s="18">
        <v>1316.2</v>
      </c>
      <c r="I35" s="18">
        <v>860.3</v>
      </c>
      <c r="J35" s="14" t="s">
        <v>46</v>
      </c>
      <c r="K35" s="18">
        <v>3416.2</v>
      </c>
      <c r="L35" s="14" t="s">
        <v>46</v>
      </c>
      <c r="M35" s="14" t="s">
        <v>46</v>
      </c>
      <c r="N35" s="18">
        <v>1064.8</v>
      </c>
      <c r="O35" s="17">
        <f t="shared" si="1"/>
        <v>0.23269275295207226</v>
      </c>
      <c r="P35" s="18"/>
      <c r="Q35" s="18">
        <v>3209.2</v>
      </c>
    </row>
    <row r="36" spans="2:17" x14ac:dyDescent="0.25">
      <c r="B36" s="9" t="s">
        <v>76</v>
      </c>
      <c r="C36" s="18">
        <v>2226.6999999999998</v>
      </c>
      <c r="D36" s="16">
        <f t="shared" si="0"/>
        <v>-0.14166216945493795</v>
      </c>
      <c r="E36" s="14" t="s">
        <v>46</v>
      </c>
      <c r="F36" s="14" t="s">
        <v>46</v>
      </c>
      <c r="G36" s="18">
        <v>986.4</v>
      </c>
      <c r="H36" s="18">
        <v>864.4</v>
      </c>
      <c r="I36" s="15">
        <v>928</v>
      </c>
      <c r="J36" s="14" t="s">
        <v>46</v>
      </c>
      <c r="K36" s="18">
        <v>3238.2</v>
      </c>
      <c r="L36" s="14" t="s">
        <v>46</v>
      </c>
      <c r="M36" s="14" t="s">
        <v>46</v>
      </c>
      <c r="N36" s="18">
        <v>1291.7</v>
      </c>
      <c r="O36" s="17">
        <f t="shared" si="1"/>
        <v>0.21309166040571009</v>
      </c>
      <c r="P36" s="18"/>
      <c r="Q36" s="18">
        <v>2962.8</v>
      </c>
    </row>
    <row r="37" spans="2:17" x14ac:dyDescent="0.25">
      <c r="B37" s="9" t="s">
        <v>77</v>
      </c>
      <c r="C37" s="18">
        <v>2577.9</v>
      </c>
      <c r="D37" s="16">
        <f t="shared" si="0"/>
        <v>0.15772218978757815</v>
      </c>
      <c r="E37" s="18">
        <v>3454.1</v>
      </c>
      <c r="F37" s="14" t="s">
        <v>46</v>
      </c>
      <c r="G37" s="18">
        <v>946.8</v>
      </c>
      <c r="H37" s="18">
        <v>1791.9</v>
      </c>
      <c r="I37" s="18">
        <v>916.1</v>
      </c>
      <c r="J37" s="14" t="s">
        <v>46</v>
      </c>
      <c r="K37" s="14" t="s">
        <v>46</v>
      </c>
      <c r="L37" s="14" t="s">
        <v>46</v>
      </c>
      <c r="M37" s="14" t="s">
        <v>46</v>
      </c>
      <c r="N37" s="18">
        <v>1154.0999999999999</v>
      </c>
      <c r="O37" s="17">
        <f t="shared" si="1"/>
        <v>-0.1065262831926919</v>
      </c>
      <c r="P37" s="18"/>
      <c r="Q37" s="18">
        <v>3772.2</v>
      </c>
    </row>
    <row r="38" spans="2:17" x14ac:dyDescent="0.25">
      <c r="B38" s="9" t="s">
        <v>78</v>
      </c>
      <c r="C38" s="18">
        <v>2368.5</v>
      </c>
      <c r="D38" s="16">
        <f t="shared" si="0"/>
        <v>-8.1228907250087315E-2</v>
      </c>
      <c r="E38" s="18">
        <v>2861.7</v>
      </c>
      <c r="F38" s="14" t="s">
        <v>46</v>
      </c>
      <c r="G38" s="15">
        <v>727</v>
      </c>
      <c r="H38" s="18">
        <v>744.5</v>
      </c>
      <c r="I38" s="18">
        <v>824.7</v>
      </c>
      <c r="J38" s="14" t="s">
        <v>46</v>
      </c>
      <c r="K38" s="14" t="s">
        <v>46</v>
      </c>
      <c r="L38" s="14" t="s">
        <v>46</v>
      </c>
      <c r="M38" s="14" t="s">
        <v>46</v>
      </c>
      <c r="N38" s="18">
        <v>1224.5</v>
      </c>
      <c r="O38" s="19">
        <f t="shared" si="1"/>
        <v>6.0999913352395893E-2</v>
      </c>
      <c r="P38" s="18"/>
      <c r="Q38" s="18">
        <v>3058.3</v>
      </c>
    </row>
    <row r="39" spans="2:17" x14ac:dyDescent="0.25">
      <c r="B39" s="9" t="s">
        <v>79</v>
      </c>
      <c r="C39" s="18">
        <v>2776.2</v>
      </c>
      <c r="D39" s="19">
        <f t="shared" si="0"/>
        <v>0.17213426219126021</v>
      </c>
      <c r="E39" s="18">
        <v>3348.5</v>
      </c>
      <c r="F39" s="18">
        <v>512.29999999999995</v>
      </c>
      <c r="G39" s="18">
        <v>834.1</v>
      </c>
      <c r="H39" s="18">
        <v>1042.7</v>
      </c>
      <c r="I39" s="18">
        <v>874.9</v>
      </c>
      <c r="J39" s="18">
        <v>545.79999999999995</v>
      </c>
      <c r="K39" s="14" t="s">
        <v>46</v>
      </c>
      <c r="L39" s="14" t="s">
        <v>46</v>
      </c>
      <c r="M39" s="14" t="s">
        <v>46</v>
      </c>
      <c r="N39" s="18">
        <v>3520.9</v>
      </c>
      <c r="O39" s="33">
        <f t="shared" si="1"/>
        <v>1.8753777051857903</v>
      </c>
      <c r="P39" s="18"/>
      <c r="Q39" s="18">
        <v>2227.1</v>
      </c>
    </row>
    <row r="40" spans="2:17" x14ac:dyDescent="0.25">
      <c r="B40" s="9" t="s">
        <v>80</v>
      </c>
      <c r="C40" s="18">
        <v>3070.3</v>
      </c>
      <c r="D40" s="16">
        <f t="shared" si="0"/>
        <v>0.10593617174555162</v>
      </c>
      <c r="E40" s="18">
        <v>3317.4</v>
      </c>
      <c r="F40" s="18">
        <v>667.3</v>
      </c>
      <c r="G40" s="18">
        <v>860.8</v>
      </c>
      <c r="H40" s="18">
        <v>1093.7</v>
      </c>
      <c r="I40" s="18">
        <v>992.5</v>
      </c>
      <c r="J40" s="18">
        <v>599.4</v>
      </c>
      <c r="K40" s="14" t="s">
        <v>46</v>
      </c>
      <c r="L40" s="14" t="s">
        <v>46</v>
      </c>
      <c r="M40" s="14" t="s">
        <v>46</v>
      </c>
      <c r="N40" s="18">
        <v>4118.7</v>
      </c>
      <c r="O40" s="19">
        <f t="shared" si="1"/>
        <v>0.16978613422704414</v>
      </c>
      <c r="P40" s="18"/>
      <c r="Q40" s="15">
        <v>2255</v>
      </c>
    </row>
    <row r="41" spans="2:17" x14ac:dyDescent="0.25">
      <c r="B41" s="9" t="s">
        <v>81</v>
      </c>
      <c r="C41" s="18">
        <v>3677.2</v>
      </c>
      <c r="D41" s="16">
        <f t="shared" si="0"/>
        <v>0.19766798032765515</v>
      </c>
      <c r="E41" s="18">
        <v>3801.9</v>
      </c>
      <c r="F41" s="14" t="s">
        <v>46</v>
      </c>
      <c r="G41" s="15">
        <v>1090</v>
      </c>
      <c r="H41" s="18">
        <v>2652.9</v>
      </c>
      <c r="I41" s="18">
        <v>907.2</v>
      </c>
      <c r="J41" s="14" t="s">
        <v>46</v>
      </c>
      <c r="K41" s="14" t="s">
        <v>46</v>
      </c>
      <c r="L41" s="14" t="s">
        <v>46</v>
      </c>
      <c r="M41" s="14" t="s">
        <v>46</v>
      </c>
      <c r="N41" s="18">
        <v>4245.3999999999996</v>
      </c>
      <c r="O41" s="19">
        <f t="shared" si="1"/>
        <v>3.0762133682958173E-2</v>
      </c>
      <c r="P41" s="18"/>
      <c r="Q41" s="18">
        <v>4566.1000000000004</v>
      </c>
    </row>
    <row r="42" spans="2:17" x14ac:dyDescent="0.25">
      <c r="B42" s="9" t="s">
        <v>82</v>
      </c>
      <c r="C42" s="15">
        <v>3594</v>
      </c>
      <c r="D42" s="16">
        <f t="shared" si="0"/>
        <v>-2.2625911019253733E-2</v>
      </c>
      <c r="E42" s="18">
        <v>3508.6</v>
      </c>
      <c r="F42" s="14" t="s">
        <v>46</v>
      </c>
      <c r="G42" s="18">
        <v>1088.9000000000001</v>
      </c>
      <c r="H42" s="15">
        <v>989</v>
      </c>
      <c r="I42" s="18">
        <v>980.1</v>
      </c>
      <c r="J42" s="14" t="s">
        <v>46</v>
      </c>
      <c r="K42" s="14" t="s">
        <v>46</v>
      </c>
      <c r="L42" s="14" t="s">
        <v>46</v>
      </c>
      <c r="M42" s="14" t="s">
        <v>46</v>
      </c>
      <c r="N42" s="18">
        <v>4594.5</v>
      </c>
      <c r="O42" s="19">
        <f t="shared" si="1"/>
        <v>8.223017854619126E-2</v>
      </c>
      <c r="P42" s="18"/>
      <c r="Q42" s="18">
        <v>4068.6</v>
      </c>
    </row>
    <row r="43" spans="2:17" x14ac:dyDescent="0.25">
      <c r="B43" s="9" t="s">
        <v>83</v>
      </c>
      <c r="C43" s="18">
        <v>4246.1000000000004</v>
      </c>
      <c r="D43" s="16">
        <f t="shared" si="0"/>
        <v>0.18144129104062337</v>
      </c>
      <c r="E43" s="18">
        <v>3740.8</v>
      </c>
      <c r="F43" s="18">
        <v>1087.9000000000001</v>
      </c>
      <c r="G43" s="18">
        <v>1549.1</v>
      </c>
      <c r="H43" s="18">
        <v>1637.5</v>
      </c>
      <c r="I43" s="18">
        <v>1070.9000000000001</v>
      </c>
      <c r="J43" s="18">
        <v>966.8</v>
      </c>
      <c r="K43" s="14" t="s">
        <v>46</v>
      </c>
      <c r="L43" s="14" t="s">
        <v>46</v>
      </c>
      <c r="M43" s="14" t="s">
        <v>46</v>
      </c>
      <c r="N43" s="18">
        <v>5488.2</v>
      </c>
      <c r="O43" s="19">
        <f t="shared" si="1"/>
        <v>0.19451518119490691</v>
      </c>
      <c r="P43" s="18"/>
      <c r="Q43" s="18">
        <v>2741.5</v>
      </c>
    </row>
    <row r="44" spans="2:17" x14ac:dyDescent="0.25">
      <c r="B44" s="9" t="s">
        <v>84</v>
      </c>
      <c r="C44" s="15">
        <v>4236</v>
      </c>
      <c r="D44" s="16">
        <f t="shared" si="0"/>
        <v>-2.3786533524882509E-3</v>
      </c>
      <c r="E44" s="18">
        <v>3811.3</v>
      </c>
      <c r="F44" s="18">
        <v>1711.8</v>
      </c>
      <c r="G44" s="18">
        <v>1430.1</v>
      </c>
      <c r="H44" s="18">
        <v>1196.2</v>
      </c>
      <c r="I44" s="15">
        <v>1041</v>
      </c>
      <c r="J44" s="18">
        <v>1052.7</v>
      </c>
      <c r="K44" s="14" t="s">
        <v>46</v>
      </c>
      <c r="L44" s="14" t="s">
        <v>46</v>
      </c>
      <c r="M44" s="14" t="s">
        <v>46</v>
      </c>
      <c r="N44" s="18">
        <v>6257.2</v>
      </c>
      <c r="O44" s="19">
        <f t="shared" si="1"/>
        <v>0.14011880033526475</v>
      </c>
      <c r="P44" s="18"/>
      <c r="Q44" s="18">
        <v>2842.8</v>
      </c>
    </row>
    <row r="45" spans="2:17" x14ac:dyDescent="0.25">
      <c r="B45" s="9" t="s">
        <v>85</v>
      </c>
      <c r="C45" s="18">
        <v>4426.2</v>
      </c>
      <c r="D45" s="16">
        <f t="shared" si="0"/>
        <v>4.4900849858356899E-2</v>
      </c>
      <c r="E45" s="18">
        <v>4199.8</v>
      </c>
      <c r="F45" s="14" t="s">
        <v>46</v>
      </c>
      <c r="G45" s="18">
        <v>1458.7</v>
      </c>
      <c r="H45" s="15">
        <v>1951</v>
      </c>
      <c r="I45" s="18">
        <v>1548.8</v>
      </c>
      <c r="J45" s="14" t="s">
        <v>46</v>
      </c>
      <c r="K45" s="14" t="s">
        <v>46</v>
      </c>
      <c r="L45" s="14" t="s">
        <v>46</v>
      </c>
      <c r="M45" s="14" t="s">
        <v>46</v>
      </c>
      <c r="N45" s="18">
        <v>4736.2</v>
      </c>
      <c r="O45" s="19">
        <f t="shared" si="1"/>
        <v>-0.24307997187240299</v>
      </c>
      <c r="P45" s="18"/>
      <c r="Q45" s="18">
        <v>5294.3</v>
      </c>
    </row>
    <row r="46" spans="2:17" x14ac:dyDescent="0.25">
      <c r="B46" s="9" t="s">
        <v>86</v>
      </c>
      <c r="C46" s="18">
        <v>3993.2</v>
      </c>
      <c r="D46" s="16">
        <f t="shared" si="0"/>
        <v>-9.7826578103113279E-2</v>
      </c>
      <c r="E46" s="18">
        <v>3518.3</v>
      </c>
      <c r="F46" s="18">
        <v>1219.9000000000001</v>
      </c>
      <c r="G46" s="18">
        <v>1131.8</v>
      </c>
      <c r="H46" s="14" t="s">
        <v>46</v>
      </c>
      <c r="I46" s="18">
        <v>1047.7</v>
      </c>
      <c r="J46" s="14" t="s">
        <v>46</v>
      </c>
      <c r="K46" s="14" t="s">
        <v>46</v>
      </c>
      <c r="L46" s="14" t="s">
        <v>46</v>
      </c>
      <c r="M46" s="14" t="s">
        <v>46</v>
      </c>
      <c r="N46" s="18">
        <v>4549.3</v>
      </c>
      <c r="O46" s="19">
        <f t="shared" si="1"/>
        <v>-3.9462015962163685E-2</v>
      </c>
      <c r="P46" s="18"/>
      <c r="Q46" s="18">
        <v>4344.3</v>
      </c>
    </row>
    <row r="47" spans="2:17" x14ac:dyDescent="0.25">
      <c r="B47" s="9" t="s">
        <v>87</v>
      </c>
      <c r="C47" s="15">
        <v>3809</v>
      </c>
      <c r="D47" s="16">
        <f t="shared" si="0"/>
        <v>-4.6128418311128877E-2</v>
      </c>
      <c r="E47" s="18">
        <v>3607.4</v>
      </c>
      <c r="F47" s="18">
        <v>1438.8</v>
      </c>
      <c r="G47" s="15">
        <v>1212</v>
      </c>
      <c r="H47" s="18">
        <v>1188.5999999999999</v>
      </c>
      <c r="I47" s="14" t="s">
        <v>46</v>
      </c>
      <c r="J47" s="14" t="s">
        <v>46</v>
      </c>
      <c r="K47" s="14" t="s">
        <v>46</v>
      </c>
      <c r="L47" s="14" t="s">
        <v>46</v>
      </c>
      <c r="M47" s="14" t="s">
        <v>46</v>
      </c>
      <c r="N47" s="18">
        <v>4232.7</v>
      </c>
      <c r="O47" s="19">
        <f t="shared" si="1"/>
        <v>-6.9593124216912564E-2</v>
      </c>
      <c r="P47" s="18"/>
      <c r="Q47" s="18">
        <v>4536.1000000000004</v>
      </c>
    </row>
    <row r="48" spans="2:17" x14ac:dyDescent="0.25">
      <c r="B48" s="9" t="s">
        <v>88</v>
      </c>
      <c r="C48" s="18">
        <v>3779.3</v>
      </c>
      <c r="D48" s="16">
        <f t="shared" si="0"/>
        <v>-7.7973221317930736E-3</v>
      </c>
      <c r="E48" s="18">
        <v>3690.8</v>
      </c>
      <c r="F48" s="18">
        <v>1973.3</v>
      </c>
      <c r="G48" s="18">
        <v>1188.3</v>
      </c>
      <c r="H48" s="14" t="s">
        <v>46</v>
      </c>
      <c r="I48" s="18">
        <v>1073.2</v>
      </c>
      <c r="J48" s="14" t="s">
        <v>46</v>
      </c>
      <c r="K48" s="14" t="s">
        <v>46</v>
      </c>
      <c r="L48" s="14" t="s">
        <v>46</v>
      </c>
      <c r="M48" s="14" t="s">
        <v>46</v>
      </c>
      <c r="N48" s="15">
        <v>5816</v>
      </c>
      <c r="O48" s="19">
        <f t="shared" si="1"/>
        <v>0.37406383632196949</v>
      </c>
      <c r="P48" s="15"/>
      <c r="Q48" s="18">
        <v>4473.3999999999996</v>
      </c>
    </row>
    <row r="51" spans="14:14" x14ac:dyDescent="0.25">
      <c r="N51" s="18">
        <v>1224.5</v>
      </c>
    </row>
    <row r="52" spans="14:14" x14ac:dyDescent="0.25">
      <c r="N52" s="18">
        <v>2776.2</v>
      </c>
    </row>
    <row r="53" spans="14:14" x14ac:dyDescent="0.25">
      <c r="N53" s="18">
        <v>4118.7</v>
      </c>
    </row>
    <row r="54" spans="14:14" x14ac:dyDescent="0.25">
      <c r="N54" s="18">
        <v>4245.3999999999996</v>
      </c>
    </row>
    <row r="55" spans="14:14" x14ac:dyDescent="0.25">
      <c r="N55" s="18">
        <v>4594.5</v>
      </c>
    </row>
    <row r="56" spans="14:14" x14ac:dyDescent="0.25">
      <c r="N56" s="18">
        <v>5488.2</v>
      </c>
    </row>
    <row r="57" spans="14:14" x14ac:dyDescent="0.25">
      <c r="N57" s="18">
        <v>6257.2</v>
      </c>
    </row>
    <row r="58" spans="14:14" x14ac:dyDescent="0.25">
      <c r="N58" s="18">
        <v>4736.2</v>
      </c>
    </row>
    <row r="59" spans="14:14" x14ac:dyDescent="0.25">
      <c r="N59" s="18">
        <v>4549.3</v>
      </c>
    </row>
    <row r="60" spans="14:14" x14ac:dyDescent="0.25">
      <c r="N60" s="18">
        <v>4232.7</v>
      </c>
    </row>
    <row r="61" spans="14:14" x14ac:dyDescent="0.25">
      <c r="N61" s="15">
        <v>5816</v>
      </c>
    </row>
  </sheetData>
  <pageMargins left="0.75" right="0.75" top="1" bottom="1" header="0.5" footer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E9A-0A41-452A-A09F-E94D8E4AA7FC}">
  <dimension ref="B1:K27"/>
  <sheetViews>
    <sheetView workbookViewId="0">
      <selection activeCell="O7" sqref="O7"/>
    </sheetView>
  </sheetViews>
  <sheetFormatPr defaultColWidth="8.81640625" defaultRowHeight="14.5" x14ac:dyDescent="0.35"/>
  <cols>
    <col min="2" max="2" width="10.81640625" bestFit="1" customWidth="1"/>
    <col min="3" max="3" width="10.81640625" customWidth="1"/>
    <col min="4" max="4" width="10.36328125" bestFit="1" customWidth="1"/>
    <col min="5" max="5" width="17.36328125" bestFit="1" customWidth="1"/>
  </cols>
  <sheetData>
    <row r="1" spans="2:11" x14ac:dyDescent="0.35">
      <c r="B1" t="s">
        <v>121</v>
      </c>
      <c r="C1" t="s">
        <v>154</v>
      </c>
      <c r="D1" t="s">
        <v>122</v>
      </c>
      <c r="E1" t="s">
        <v>123</v>
      </c>
      <c r="G1" t="s">
        <v>105</v>
      </c>
      <c r="H1" t="s">
        <v>124</v>
      </c>
      <c r="J1" t="s">
        <v>105</v>
      </c>
      <c r="K1" t="s">
        <v>125</v>
      </c>
    </row>
    <row r="2" spans="2:11" x14ac:dyDescent="0.35">
      <c r="B2">
        <v>2006</v>
      </c>
      <c r="D2">
        <v>6</v>
      </c>
      <c r="E2" t="s">
        <v>126</v>
      </c>
      <c r="G2">
        <v>2006</v>
      </c>
      <c r="H2">
        <f>D2</f>
        <v>6</v>
      </c>
      <c r="J2">
        <v>2006</v>
      </c>
      <c r="K2">
        <f>H2</f>
        <v>6</v>
      </c>
    </row>
    <row r="3" spans="2:11" x14ac:dyDescent="0.35">
      <c r="B3">
        <v>2007</v>
      </c>
      <c r="D3">
        <v>3</v>
      </c>
      <c r="E3" t="s">
        <v>127</v>
      </c>
      <c r="G3">
        <v>2007</v>
      </c>
      <c r="H3">
        <f>D3</f>
        <v>3</v>
      </c>
      <c r="J3">
        <v>2007</v>
      </c>
      <c r="K3">
        <f>K2+H3</f>
        <v>9</v>
      </c>
    </row>
    <row r="4" spans="2:11" x14ac:dyDescent="0.35">
      <c r="B4">
        <v>2009</v>
      </c>
      <c r="D4">
        <v>3</v>
      </c>
      <c r="E4" t="s">
        <v>128</v>
      </c>
      <c r="G4">
        <v>2008</v>
      </c>
      <c r="H4">
        <v>0</v>
      </c>
      <c r="J4">
        <v>2008</v>
      </c>
      <c r="K4">
        <f t="shared" ref="K4:K14" si="0">K3+H4</f>
        <v>9</v>
      </c>
    </row>
    <row r="5" spans="2:11" x14ac:dyDescent="0.35">
      <c r="B5">
        <v>2010</v>
      </c>
      <c r="D5">
        <v>3</v>
      </c>
      <c r="E5" t="s">
        <v>129</v>
      </c>
      <c r="G5">
        <v>2009</v>
      </c>
      <c r="H5">
        <f>D4</f>
        <v>3</v>
      </c>
      <c r="J5">
        <v>2009</v>
      </c>
      <c r="K5">
        <f t="shared" si="0"/>
        <v>12</v>
      </c>
    </row>
    <row r="6" spans="2:11" x14ac:dyDescent="0.35">
      <c r="B6">
        <v>2011</v>
      </c>
      <c r="D6">
        <v>4</v>
      </c>
      <c r="E6" t="s">
        <v>130</v>
      </c>
      <c r="G6">
        <v>2010</v>
      </c>
      <c r="H6">
        <f>D5</f>
        <v>3</v>
      </c>
      <c r="J6">
        <v>2010</v>
      </c>
      <c r="K6">
        <f t="shared" si="0"/>
        <v>15</v>
      </c>
    </row>
    <row r="7" spans="2:11" x14ac:dyDescent="0.35">
      <c r="B7">
        <v>2011</v>
      </c>
      <c r="D7">
        <v>3</v>
      </c>
      <c r="E7" t="s">
        <v>131</v>
      </c>
      <c r="G7">
        <v>2011</v>
      </c>
      <c r="H7">
        <f>SUM(D6:D9)</f>
        <v>14</v>
      </c>
      <c r="J7">
        <v>2011</v>
      </c>
      <c r="K7">
        <f t="shared" si="0"/>
        <v>29</v>
      </c>
    </row>
    <row r="8" spans="2:11" x14ac:dyDescent="0.35">
      <c r="B8">
        <v>2011</v>
      </c>
      <c r="D8">
        <v>3</v>
      </c>
      <c r="E8" t="s">
        <v>132</v>
      </c>
      <c r="G8">
        <v>2012</v>
      </c>
      <c r="H8">
        <f>D10</f>
        <v>3</v>
      </c>
      <c r="J8">
        <v>2012</v>
      </c>
      <c r="K8">
        <f t="shared" si="0"/>
        <v>32</v>
      </c>
    </row>
    <row r="9" spans="2:11" x14ac:dyDescent="0.35">
      <c r="B9">
        <v>2011</v>
      </c>
      <c r="D9">
        <v>4</v>
      </c>
      <c r="E9" t="s">
        <v>133</v>
      </c>
      <c r="G9">
        <v>2013</v>
      </c>
      <c r="H9">
        <v>0</v>
      </c>
      <c r="J9">
        <v>2013</v>
      </c>
      <c r="K9">
        <f t="shared" si="0"/>
        <v>32</v>
      </c>
    </row>
    <row r="10" spans="2:11" x14ac:dyDescent="0.35">
      <c r="B10">
        <v>2012</v>
      </c>
      <c r="D10">
        <v>3</v>
      </c>
      <c r="E10" t="s">
        <v>134</v>
      </c>
      <c r="G10">
        <v>2014</v>
      </c>
      <c r="H10">
        <f>D11</f>
        <v>3</v>
      </c>
      <c r="J10">
        <v>2014</v>
      </c>
      <c r="K10">
        <f t="shared" si="0"/>
        <v>35</v>
      </c>
    </row>
    <row r="11" spans="2:11" x14ac:dyDescent="0.35">
      <c r="B11">
        <v>2014</v>
      </c>
      <c r="D11">
        <v>3</v>
      </c>
      <c r="E11" t="s">
        <v>135</v>
      </c>
      <c r="G11">
        <v>2016</v>
      </c>
      <c r="H11">
        <f>SUM(D12:D17)</f>
        <v>16</v>
      </c>
      <c r="J11">
        <v>2016</v>
      </c>
      <c r="K11">
        <f t="shared" si="0"/>
        <v>51</v>
      </c>
    </row>
    <row r="12" spans="2:11" x14ac:dyDescent="0.35">
      <c r="B12">
        <v>2016</v>
      </c>
      <c r="D12">
        <v>2</v>
      </c>
      <c r="E12" t="s">
        <v>136</v>
      </c>
      <c r="G12">
        <v>2017</v>
      </c>
      <c r="H12">
        <f>SUM(D18:D19)</f>
        <v>6</v>
      </c>
      <c r="J12">
        <v>2017</v>
      </c>
      <c r="K12">
        <f t="shared" si="0"/>
        <v>57</v>
      </c>
    </row>
    <row r="13" spans="2:11" x14ac:dyDescent="0.35">
      <c r="B13">
        <v>2016</v>
      </c>
      <c r="D13">
        <v>3</v>
      </c>
      <c r="E13" t="s">
        <v>137</v>
      </c>
      <c r="G13">
        <v>2018</v>
      </c>
      <c r="H13">
        <f>SUM(D20:D21)</f>
        <v>6</v>
      </c>
      <c r="J13">
        <v>2018</v>
      </c>
      <c r="K13">
        <f>K12+H13</f>
        <v>63</v>
      </c>
    </row>
    <row r="14" spans="2:11" x14ac:dyDescent="0.35">
      <c r="B14">
        <v>2016</v>
      </c>
      <c r="D14">
        <v>3</v>
      </c>
      <c r="E14" t="s">
        <v>138</v>
      </c>
      <c r="G14">
        <v>2019</v>
      </c>
      <c r="H14">
        <f>SUM(D22:D23)</f>
        <v>6</v>
      </c>
      <c r="J14">
        <v>2019</v>
      </c>
      <c r="K14">
        <f t="shared" si="0"/>
        <v>69</v>
      </c>
    </row>
    <row r="15" spans="2:11" x14ac:dyDescent="0.35">
      <c r="B15">
        <v>2016</v>
      </c>
      <c r="D15">
        <v>3</v>
      </c>
      <c r="E15" t="s">
        <v>139</v>
      </c>
    </row>
    <row r="16" spans="2:11" x14ac:dyDescent="0.35">
      <c r="B16">
        <v>2016</v>
      </c>
      <c r="D16">
        <v>2</v>
      </c>
      <c r="E16" t="s">
        <v>140</v>
      </c>
    </row>
    <row r="17" spans="2:10" x14ac:dyDescent="0.35">
      <c r="B17">
        <v>2016</v>
      </c>
      <c r="D17">
        <v>3</v>
      </c>
      <c r="E17" t="s">
        <v>141</v>
      </c>
      <c r="H17" s="45"/>
      <c r="I17" s="45"/>
      <c r="J17" s="45"/>
    </row>
    <row r="18" spans="2:10" x14ac:dyDescent="0.35">
      <c r="B18">
        <v>2017</v>
      </c>
      <c r="C18" t="s">
        <v>142</v>
      </c>
      <c r="D18">
        <v>3</v>
      </c>
      <c r="E18" t="s">
        <v>143</v>
      </c>
    </row>
    <row r="19" spans="2:10" x14ac:dyDescent="0.35">
      <c r="B19">
        <v>2017</v>
      </c>
      <c r="C19" t="s">
        <v>142</v>
      </c>
      <c r="D19">
        <v>3</v>
      </c>
      <c r="E19" t="s">
        <v>144</v>
      </c>
    </row>
    <row r="20" spans="2:10" x14ac:dyDescent="0.35">
      <c r="B20">
        <v>2018</v>
      </c>
      <c r="C20" t="s">
        <v>145</v>
      </c>
      <c r="D20">
        <v>3</v>
      </c>
      <c r="E20" t="s">
        <v>146</v>
      </c>
    </row>
    <row r="21" spans="2:10" x14ac:dyDescent="0.35">
      <c r="B21">
        <v>2018</v>
      </c>
      <c r="C21" t="s">
        <v>142</v>
      </c>
      <c r="D21">
        <v>3</v>
      </c>
      <c r="E21" t="s">
        <v>147</v>
      </c>
    </row>
    <row r="22" spans="2:10" x14ac:dyDescent="0.35">
      <c r="B22">
        <v>2019</v>
      </c>
      <c r="C22" t="s">
        <v>148</v>
      </c>
      <c r="D22">
        <v>3</v>
      </c>
      <c r="E22" t="s">
        <v>149</v>
      </c>
    </row>
    <row r="23" spans="2:10" x14ac:dyDescent="0.35">
      <c r="B23">
        <v>2019</v>
      </c>
      <c r="C23" t="s">
        <v>150</v>
      </c>
      <c r="D23">
        <v>3</v>
      </c>
      <c r="E23" t="s">
        <v>151</v>
      </c>
    </row>
    <row r="25" spans="2:10" x14ac:dyDescent="0.35">
      <c r="B25" s="41" t="s">
        <v>152</v>
      </c>
    </row>
    <row r="26" spans="2:10" x14ac:dyDescent="0.35">
      <c r="B26" t="s">
        <v>152</v>
      </c>
    </row>
    <row r="27" spans="2:10" x14ac:dyDescent="0.35">
      <c r="B27" t="s">
        <v>153</v>
      </c>
    </row>
  </sheetData>
  <autoFilter ref="B1:E23" xr:uid="{1FFA6F3D-017A-4538-9F1E-870E349DA279}">
    <sortState xmlns:xlrd2="http://schemas.microsoft.com/office/spreadsheetml/2017/richdata2" ref="B2:E23">
      <sortCondition ref="B1:B23"/>
    </sortState>
  </autoFilter>
  <hyperlinks>
    <hyperlink ref="B25" r:id="rId1" xr:uid="{8170485E-84EB-4219-8BE1-2C8979B0A2C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9C98-9D21-4455-B441-02E72692C94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fixed percent of CapEx</vt:lpstr>
      <vt:lpstr>floating percent of CapEx ODM</vt:lpstr>
      <vt:lpstr>mkt adj floating w ODM DRAM AZs</vt:lpstr>
      <vt:lpstr>server expense in 6 yrs, #t (2)</vt:lpstr>
      <vt:lpstr>IDC report Overview</vt:lpstr>
      <vt:lpstr>IDC Data</vt:lpstr>
      <vt:lpstr>Availability Zone Growth</vt:lpstr>
      <vt:lpstr>Cost of Networks and Racks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Shangyun Song</dc:creator>
  <cp:lastModifiedBy>Shay</cp:lastModifiedBy>
  <dcterms:created xsi:type="dcterms:W3CDTF">2020-02-19T17:34:42Z</dcterms:created>
  <dcterms:modified xsi:type="dcterms:W3CDTF">2020-03-18T03:10:53Z</dcterms:modified>
</cp:coreProperties>
</file>